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66925"/>
  <mc:AlternateContent xmlns:mc="http://schemas.openxmlformats.org/markup-compatibility/2006">
    <mc:Choice Requires="x15">
      <x15ac:absPath xmlns:x15ac="http://schemas.microsoft.com/office/spreadsheetml/2010/11/ac" url="\\rmp.loc\Occitanie\DITEE\6-STEEC\200_POLE_NRJ\220_ENR\08_H2\2. AAP\5. AAP Usages à prod H2\1. CDC\"/>
    </mc:Choice>
  </mc:AlternateContent>
  <xr:revisionPtr revIDLastSave="0" documentId="8_{87A38B8F-A52A-41E3-AE0B-82F36D698F83}" xr6:coauthVersionLast="36" xr6:coauthVersionMax="36" xr10:uidLastSave="{00000000-0000-0000-0000-000000000000}"/>
  <bookViews>
    <workbookView xWindow="31050" yWindow="210" windowWidth="21150" windowHeight="11265" tabRatio="913" xr2:uid="{00000000-000D-0000-FFFF-FFFF00000000}"/>
  </bookViews>
  <sheets>
    <sheet name="Notice" sheetId="21" r:id="rId1"/>
    <sheet name="1. Dépenses Usages" sheetId="18" r:id="rId2"/>
    <sheet name="2. Dépenses Infra" sheetId="17" r:id="rId3"/>
    <sheet name="3. Plan de financement" sheetId="19" r:id="rId4"/>
    <sheet name="4. Calendrier d'exécution" sheetId="20" r:id="rId5"/>
    <sheet name="Hypothèses" sheetId="12" r:id="rId6"/>
    <sheet name=" BP Infrastructures" sheetId="13" r:id="rId7"/>
    <sheet name="TCO Véhicules" sheetId="5" r:id="rId8"/>
    <sheet name="GES évités" sheetId="11" r:id="rId9"/>
    <sheet name="Sources" sheetId="7" r:id="rId10"/>
  </sheets>
  <externalReferences>
    <externalReference r:id="rId11"/>
    <externalReference r:id="rId12"/>
  </externalReferences>
  <definedNames>
    <definedName name="Consommations" localSheetId="0">[1]Sources!$B$53:$E$62</definedName>
    <definedName name="Consommations">Sources!$B$53:$E$62</definedName>
    <definedName name="DECLARATION_DES_AIDES_DE_MINIMIS">#REF!</definedName>
    <definedName name="RefDiesel_BOM" localSheetId="0">#REF!</definedName>
    <definedName name="RefDiesel_BOM">#REF!</definedName>
    <definedName name="RefDiesel_bus" localSheetId="0">#REF!</definedName>
    <definedName name="RefDiesel_bus">#REF!</definedName>
    <definedName name="RefDiesel_VUL1" localSheetId="0">#REF!</definedName>
    <definedName name="RefDiesel_VUL1">#REF!</definedName>
    <definedName name="RefDiesel_VUL2">#REF!</definedName>
    <definedName name="RefH2_BOM">#REF!</definedName>
    <definedName name="RefH2_bus">#REF!</definedName>
    <definedName name="RefH2_VUL1">#REF!</definedName>
    <definedName name="RefH2_VUL2">#REF!</definedName>
    <definedName name="top">#REF!</definedName>
    <definedName name="typerèglement">'[2]partenaire1-Coord'!$AT$1:$AT$4</definedName>
    <definedName name="_xlnm.Print_Area" localSheetId="3">'3. Plan de financement'!$A$1:$I$63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1" i="18" l="1"/>
  <c r="G12" i="18"/>
  <c r="G13" i="18"/>
  <c r="G14" i="18"/>
  <c r="G15" i="18"/>
  <c r="G16" i="18"/>
  <c r="G17" i="18"/>
  <c r="G18" i="18"/>
  <c r="G19" i="18"/>
  <c r="G10" i="18"/>
  <c r="H47" i="19" l="1"/>
  <c r="H44" i="19"/>
  <c r="E41" i="19"/>
  <c r="D41" i="19"/>
  <c r="H40" i="19"/>
  <c r="H36" i="19"/>
  <c r="E35" i="19"/>
  <c r="D35" i="19"/>
  <c r="H32" i="19"/>
  <c r="H28" i="19"/>
  <c r="E27" i="19"/>
  <c r="E50" i="19" s="1"/>
  <c r="D27" i="19"/>
  <c r="H23" i="19"/>
  <c r="E20" i="19"/>
  <c r="D20" i="19"/>
  <c r="H19" i="19"/>
  <c r="H15" i="19"/>
  <c r="H50" i="19" s="1"/>
  <c r="E15" i="19"/>
  <c r="D15" i="19"/>
  <c r="D50" i="19" s="1"/>
  <c r="E62" i="18"/>
  <c r="E56" i="18"/>
  <c r="E64" i="18" s="1"/>
  <c r="E44" i="18"/>
  <c r="E38" i="18"/>
  <c r="E46" i="18" s="1"/>
  <c r="E26" i="18"/>
  <c r="G20" i="18"/>
  <c r="E70" i="18" s="1"/>
  <c r="E20" i="18"/>
  <c r="F90" i="17"/>
  <c r="H84" i="17"/>
  <c r="I84" i="17" s="1"/>
  <c r="G84" i="17"/>
  <c r="F84" i="17"/>
  <c r="F57" i="17"/>
  <c r="F51" i="17"/>
  <c r="F59" i="17" s="1"/>
  <c r="F39" i="17"/>
  <c r="F33" i="17"/>
  <c r="F41" i="17" s="1"/>
  <c r="E28" i="18" l="1"/>
  <c r="E72" i="18" s="1"/>
  <c r="F92" i="17"/>
  <c r="F100" i="17" s="1"/>
  <c r="F98" i="17"/>
  <c r="E12" i="5" l="1"/>
  <c r="E15" i="11"/>
  <c r="E13" i="11" l="1"/>
  <c r="E14" i="11"/>
  <c r="E16" i="11"/>
  <c r="E17" i="11"/>
  <c r="E18" i="11"/>
  <c r="E19" i="11"/>
  <c r="E20" i="11"/>
  <c r="E21" i="11"/>
  <c r="E22" i="11"/>
  <c r="E23" i="11"/>
  <c r="E24" i="11"/>
  <c r="E25" i="11"/>
  <c r="E26" i="11"/>
  <c r="E27" i="11"/>
  <c r="E28" i="11"/>
  <c r="E29" i="11"/>
  <c r="E30" i="11"/>
  <c r="E31" i="11"/>
  <c r="E12" i="11"/>
  <c r="A8" i="13" l="1"/>
  <c r="C53" i="5" l="1"/>
  <c r="E32" i="11" l="1"/>
  <c r="D13" i="11"/>
  <c r="D14" i="11"/>
  <c r="D15" i="11"/>
  <c r="D16" i="11"/>
  <c r="D17" i="11"/>
  <c r="D18" i="11"/>
  <c r="D19" i="11"/>
  <c r="D20" i="11"/>
  <c r="D21" i="11"/>
  <c r="D22" i="11"/>
  <c r="D23" i="11"/>
  <c r="D24" i="11"/>
  <c r="D25" i="11"/>
  <c r="D26" i="11"/>
  <c r="D27" i="11"/>
  <c r="D28" i="11"/>
  <c r="D29" i="11"/>
  <c r="D30" i="11"/>
  <c r="D31" i="11"/>
  <c r="D12" i="11"/>
  <c r="C31" i="11"/>
  <c r="C30" i="11"/>
  <c r="C29" i="11"/>
  <c r="C28" i="11"/>
  <c r="C27" i="11"/>
  <c r="C26" i="11"/>
  <c r="C25" i="11"/>
  <c r="C24" i="11"/>
  <c r="C22" i="11"/>
  <c r="C23" i="11"/>
  <c r="C21" i="11"/>
  <c r="B16" i="11"/>
  <c r="I16" i="11" s="1"/>
  <c r="B17" i="11"/>
  <c r="I17" i="11" s="1"/>
  <c r="B18" i="11"/>
  <c r="I18" i="11" s="1"/>
  <c r="B19" i="11"/>
  <c r="I19" i="11" s="1"/>
  <c r="B20" i="11"/>
  <c r="B21" i="11"/>
  <c r="I21" i="11" s="1"/>
  <c r="B22" i="11"/>
  <c r="I22" i="11" s="1"/>
  <c r="B23" i="11"/>
  <c r="I23" i="11" s="1"/>
  <c r="B24" i="11"/>
  <c r="I24" i="11" s="1"/>
  <c r="B25" i="11"/>
  <c r="B26" i="11"/>
  <c r="B27" i="11"/>
  <c r="I27" i="11" s="1"/>
  <c r="B28" i="11"/>
  <c r="I28" i="11" s="1"/>
  <c r="B29" i="11"/>
  <c r="I29" i="11" s="1"/>
  <c r="B30" i="11"/>
  <c r="I30" i="11" s="1"/>
  <c r="B31" i="11"/>
  <c r="I31" i="11" s="1"/>
  <c r="B13" i="11"/>
  <c r="B14" i="11"/>
  <c r="B15" i="11"/>
  <c r="I15" i="11" s="1"/>
  <c r="B12" i="11"/>
  <c r="G16" i="11" l="1"/>
  <c r="G17" i="11"/>
  <c r="G24" i="11"/>
  <c r="G28" i="11"/>
  <c r="G15" i="11"/>
  <c r="G23" i="11"/>
  <c r="G18" i="11"/>
  <c r="G27" i="11"/>
  <c r="G19" i="11"/>
  <c r="G29" i="11"/>
  <c r="G21" i="11"/>
  <c r="G30" i="11"/>
  <c r="G22" i="11"/>
  <c r="G31" i="11"/>
  <c r="G14" i="11"/>
  <c r="I14" i="11"/>
  <c r="L671" i="5"/>
  <c r="K671" i="5"/>
  <c r="L669" i="5"/>
  <c r="K665" i="5"/>
  <c r="L637" i="5"/>
  <c r="K637" i="5"/>
  <c r="L635" i="5"/>
  <c r="K631" i="5"/>
  <c r="L603" i="5"/>
  <c r="K603" i="5"/>
  <c r="L601" i="5"/>
  <c r="K597" i="5"/>
  <c r="L569" i="5"/>
  <c r="K569" i="5"/>
  <c r="L567" i="5"/>
  <c r="K563" i="5"/>
  <c r="L535" i="5"/>
  <c r="K535" i="5"/>
  <c r="L533" i="5"/>
  <c r="K529" i="5"/>
  <c r="L501" i="5"/>
  <c r="K501" i="5"/>
  <c r="L499" i="5"/>
  <c r="K495" i="5"/>
  <c r="L467" i="5"/>
  <c r="K467" i="5"/>
  <c r="L465" i="5"/>
  <c r="K461" i="5"/>
  <c r="L433" i="5"/>
  <c r="K433" i="5"/>
  <c r="L431" i="5"/>
  <c r="K427" i="5"/>
  <c r="L399" i="5"/>
  <c r="K399" i="5"/>
  <c r="L397" i="5"/>
  <c r="K393" i="5"/>
  <c r="L365" i="5"/>
  <c r="K365" i="5"/>
  <c r="L363" i="5"/>
  <c r="K359" i="5"/>
  <c r="L331" i="5"/>
  <c r="K331" i="5"/>
  <c r="L329" i="5"/>
  <c r="K325" i="5"/>
  <c r="L297" i="5"/>
  <c r="K297" i="5"/>
  <c r="L295" i="5"/>
  <c r="K291" i="5"/>
  <c r="L263" i="5"/>
  <c r="K263" i="5"/>
  <c r="L261" i="5"/>
  <c r="K257" i="5"/>
  <c r="L229" i="5"/>
  <c r="K229" i="5"/>
  <c r="L227" i="5"/>
  <c r="K223" i="5"/>
  <c r="L195" i="5"/>
  <c r="K195" i="5"/>
  <c r="L193" i="5"/>
  <c r="K189" i="5"/>
  <c r="L161" i="5"/>
  <c r="K161" i="5"/>
  <c r="L159" i="5"/>
  <c r="K155" i="5"/>
  <c r="L127" i="5"/>
  <c r="K127" i="5"/>
  <c r="L125" i="5"/>
  <c r="K121" i="5"/>
  <c r="L93" i="5"/>
  <c r="K93" i="5"/>
  <c r="L91" i="5"/>
  <c r="K87" i="5"/>
  <c r="L59" i="5"/>
  <c r="K59" i="5"/>
  <c r="L57" i="5"/>
  <c r="K53" i="5"/>
  <c r="L25" i="5"/>
  <c r="K25" i="5"/>
  <c r="F10" i="13"/>
  <c r="C7" i="5" l="1"/>
  <c r="B7" i="12"/>
  <c r="C665" i="5" l="1"/>
  <c r="C666" i="5" s="1"/>
  <c r="C631" i="5"/>
  <c r="C632" i="5" s="1"/>
  <c r="C597" i="5"/>
  <c r="C598" i="5" s="1"/>
  <c r="C563" i="5"/>
  <c r="C564" i="5" s="1"/>
  <c r="C529" i="5"/>
  <c r="C530" i="5" s="1"/>
  <c r="C495" i="5"/>
  <c r="C496" i="5" s="1"/>
  <c r="C461" i="5"/>
  <c r="C462" i="5" s="1"/>
  <c r="C427" i="5"/>
  <c r="C428" i="5" s="1"/>
  <c r="C393" i="5"/>
  <c r="C394" i="5" s="1"/>
  <c r="C359" i="5"/>
  <c r="C360" i="5" s="1"/>
  <c r="E658" i="5"/>
  <c r="E624" i="5"/>
  <c r="E590" i="5"/>
  <c r="E556" i="5"/>
  <c r="E522" i="5"/>
  <c r="E488" i="5"/>
  <c r="E454" i="5"/>
  <c r="E420" i="5"/>
  <c r="E386" i="5"/>
  <c r="E352" i="5"/>
  <c r="F688" i="5" l="1"/>
  <c r="F687" i="5"/>
  <c r="F678" i="5"/>
  <c r="L668" i="5" s="1"/>
  <c r="F654" i="5"/>
  <c r="F653" i="5"/>
  <c r="F644" i="5"/>
  <c r="L634" i="5" s="1"/>
  <c r="F620" i="5"/>
  <c r="F619" i="5"/>
  <c r="F607" i="5"/>
  <c r="L596" i="5" s="1"/>
  <c r="F610" i="5"/>
  <c r="L600" i="5" s="1"/>
  <c r="F586" i="5"/>
  <c r="F585" i="5"/>
  <c r="F576" i="5"/>
  <c r="L566" i="5" s="1"/>
  <c r="F552" i="5"/>
  <c r="F551" i="5"/>
  <c r="F542" i="5"/>
  <c r="L532" i="5" s="1"/>
  <c r="F518" i="5"/>
  <c r="F517" i="5"/>
  <c r="F508" i="5"/>
  <c r="L498" i="5" s="1"/>
  <c r="F484" i="5"/>
  <c r="F483" i="5"/>
  <c r="F474" i="5"/>
  <c r="L464" i="5" s="1"/>
  <c r="F450" i="5"/>
  <c r="F449" i="5"/>
  <c r="F440" i="5"/>
  <c r="L430" i="5" s="1"/>
  <c r="F416" i="5"/>
  <c r="F415" i="5"/>
  <c r="F406" i="5"/>
  <c r="L396" i="5" s="1"/>
  <c r="F382" i="5"/>
  <c r="F381" i="5"/>
  <c r="F372" i="5"/>
  <c r="L362" i="5" s="1"/>
  <c r="A28" i="12"/>
  <c r="A277" i="13" s="1"/>
  <c r="A27" i="12"/>
  <c r="A274" i="13" s="1"/>
  <c r="A26" i="12"/>
  <c r="A271" i="13" s="1"/>
  <c r="A25" i="12"/>
  <c r="A78" i="13" s="1"/>
  <c r="A24" i="12"/>
  <c r="A75" i="13" s="1"/>
  <c r="A23" i="12"/>
  <c r="A262" i="13" s="1"/>
  <c r="A22" i="12"/>
  <c r="A259" i="13" s="1"/>
  <c r="A21" i="12"/>
  <c r="A256" i="13" s="1"/>
  <c r="A20" i="12"/>
  <c r="A253" i="13" s="1"/>
  <c r="A19" i="12"/>
  <c r="A250" i="13" s="1"/>
  <c r="A81" i="13" l="1"/>
  <c r="A265" i="13"/>
  <c r="A60" i="13"/>
  <c r="A84" i="13"/>
  <c r="A268" i="13"/>
  <c r="A63" i="13"/>
  <c r="A87" i="13"/>
  <c r="A66" i="13"/>
  <c r="A69" i="13"/>
  <c r="A72" i="13"/>
  <c r="D676" i="5"/>
  <c r="D675" i="5"/>
  <c r="K664" i="5" s="1"/>
  <c r="F675" i="5"/>
  <c r="L664" i="5" s="1"/>
  <c r="F676" i="5"/>
  <c r="D641" i="5"/>
  <c r="K630" i="5" s="1"/>
  <c r="F641" i="5"/>
  <c r="L630" i="5" s="1"/>
  <c r="D608" i="5"/>
  <c r="D607" i="5"/>
  <c r="K596" i="5" s="1"/>
  <c r="F608" i="5"/>
  <c r="L598" i="5" s="1"/>
  <c r="L595" i="5" s="1"/>
  <c r="D573" i="5"/>
  <c r="K562" i="5" s="1"/>
  <c r="F574" i="5"/>
  <c r="D574" i="5"/>
  <c r="F573" i="5"/>
  <c r="L562" i="5" s="1"/>
  <c r="D539" i="5"/>
  <c r="K528" i="5" s="1"/>
  <c r="F540" i="5"/>
  <c r="F539" i="5"/>
  <c r="L528" i="5" s="1"/>
  <c r="D540" i="5"/>
  <c r="D506" i="5"/>
  <c r="D505" i="5"/>
  <c r="K494" i="5" s="1"/>
  <c r="F506" i="5"/>
  <c r="F471" i="5"/>
  <c r="L460" i="5" s="1"/>
  <c r="F505" i="5"/>
  <c r="L494" i="5" s="1"/>
  <c r="D471" i="5"/>
  <c r="K460" i="5" s="1"/>
  <c r="D437" i="5"/>
  <c r="K426" i="5" s="1"/>
  <c r="F438" i="5"/>
  <c r="F437" i="5"/>
  <c r="L426" i="5" s="1"/>
  <c r="D438" i="5"/>
  <c r="D404" i="5"/>
  <c r="F404" i="5"/>
  <c r="F403" i="5"/>
  <c r="L392" i="5" s="1"/>
  <c r="D403" i="5"/>
  <c r="K392" i="5" s="1"/>
  <c r="D369" i="5"/>
  <c r="K358" i="5" s="1"/>
  <c r="F370" i="5"/>
  <c r="F369" i="5"/>
  <c r="L358" i="5" s="1"/>
  <c r="D370" i="5"/>
  <c r="L666" i="5" l="1"/>
  <c r="L663" i="5" s="1"/>
  <c r="K564" i="5"/>
  <c r="K561" i="5" s="1"/>
  <c r="L496" i="5"/>
  <c r="K394" i="5"/>
  <c r="K391" i="5" s="1"/>
  <c r="L564" i="5"/>
  <c r="L561" i="5" s="1"/>
  <c r="K428" i="5"/>
  <c r="K425" i="5" s="1"/>
  <c r="L530" i="5"/>
  <c r="L527" i="5" s="1"/>
  <c r="K360" i="5"/>
  <c r="K357" i="5" s="1"/>
  <c r="K598" i="5"/>
  <c r="K595" i="5" s="1"/>
  <c r="K496" i="5"/>
  <c r="K493" i="5" s="1"/>
  <c r="L360" i="5"/>
  <c r="L357" i="5" s="1"/>
  <c r="L394" i="5"/>
  <c r="L391" i="5" s="1"/>
  <c r="L428" i="5"/>
  <c r="L425" i="5" s="1"/>
  <c r="K530" i="5"/>
  <c r="K527" i="5" s="1"/>
  <c r="K666" i="5"/>
  <c r="K663" i="5" s="1"/>
  <c r="D72" i="7" l="1"/>
  <c r="D71" i="7"/>
  <c r="C216" i="13" l="1"/>
  <c r="C215" i="13"/>
  <c r="C214" i="13"/>
  <c r="X213" i="13"/>
  <c r="W213" i="13"/>
  <c r="V213" i="13"/>
  <c r="U213" i="13"/>
  <c r="T213" i="13"/>
  <c r="S213" i="13"/>
  <c r="R213" i="13"/>
  <c r="Q213" i="13"/>
  <c r="P213" i="13"/>
  <c r="O213" i="13"/>
  <c r="N213" i="13"/>
  <c r="M213" i="13"/>
  <c r="L213" i="13"/>
  <c r="K213" i="13"/>
  <c r="J213" i="13"/>
  <c r="I213" i="13"/>
  <c r="H213" i="13"/>
  <c r="G213" i="13"/>
  <c r="F213" i="13"/>
  <c r="E213" i="13"/>
  <c r="D213" i="13"/>
  <c r="C151" i="13"/>
  <c r="C150" i="13"/>
  <c r="C149" i="13"/>
  <c r="X148" i="13"/>
  <c r="W148" i="13"/>
  <c r="V148" i="13"/>
  <c r="U148" i="13"/>
  <c r="T148" i="13"/>
  <c r="S148" i="13"/>
  <c r="R148" i="13"/>
  <c r="Q148" i="13"/>
  <c r="P148" i="13"/>
  <c r="O148" i="13"/>
  <c r="N148" i="13"/>
  <c r="M148" i="13"/>
  <c r="L148" i="13"/>
  <c r="K148" i="13"/>
  <c r="J148" i="13"/>
  <c r="I148" i="13"/>
  <c r="H148" i="13"/>
  <c r="G148" i="13"/>
  <c r="F148" i="13"/>
  <c r="E148" i="13"/>
  <c r="D148" i="13"/>
  <c r="E23" i="13"/>
  <c r="F23" i="13"/>
  <c r="G23" i="13"/>
  <c r="H23" i="13"/>
  <c r="I23" i="13"/>
  <c r="J23" i="13"/>
  <c r="K23" i="13"/>
  <c r="L23" i="13"/>
  <c r="M23" i="13"/>
  <c r="N23" i="13"/>
  <c r="O23" i="13"/>
  <c r="P23" i="13"/>
  <c r="Q23" i="13"/>
  <c r="R23" i="13"/>
  <c r="S23" i="13"/>
  <c r="T23" i="13"/>
  <c r="U23" i="13"/>
  <c r="V23" i="13"/>
  <c r="W23" i="13"/>
  <c r="X23" i="13"/>
  <c r="D23" i="13"/>
  <c r="C26" i="13"/>
  <c r="C25" i="13"/>
  <c r="C24" i="13"/>
  <c r="C148" i="13" l="1"/>
  <c r="C213" i="13"/>
  <c r="C23" i="13"/>
  <c r="L8" i="5" l="1"/>
  <c r="L7" i="5"/>
  <c r="G688" i="5" l="1"/>
  <c r="G620" i="5"/>
  <c r="G484" i="5"/>
  <c r="G586" i="5"/>
  <c r="G450" i="5"/>
  <c r="G654" i="5"/>
  <c r="G518" i="5"/>
  <c r="G416" i="5"/>
  <c r="G382" i="5"/>
  <c r="G552" i="5"/>
  <c r="G314" i="5"/>
  <c r="G110" i="5"/>
  <c r="G246" i="5"/>
  <c r="G144" i="5"/>
  <c r="G280" i="5"/>
  <c r="G76" i="5"/>
  <c r="G212" i="5"/>
  <c r="G348" i="5"/>
  <c r="G42" i="5"/>
  <c r="G178" i="5"/>
  <c r="G206" i="13" l="1"/>
  <c r="G141" i="13"/>
  <c r="G16" i="13"/>
  <c r="Y285" i="13"/>
  <c r="Y286" i="13"/>
  <c r="Y287" i="13"/>
  <c r="Y288" i="13"/>
  <c r="Y289" i="13"/>
  <c r="Y290" i="13"/>
  <c r="Y291" i="13"/>
  <c r="Y292" i="13"/>
  <c r="Y293" i="13"/>
  <c r="Y294" i="13"/>
  <c r="Y295" i="13"/>
  <c r="Y296" i="13"/>
  <c r="Y297" i="13"/>
  <c r="Y298" i="13"/>
  <c r="Y299" i="13"/>
  <c r="Y300" i="13"/>
  <c r="Y301" i="13"/>
  <c r="Y302" i="13"/>
  <c r="Y303" i="13"/>
  <c r="Y284" i="13"/>
  <c r="A302" i="13"/>
  <c r="A300" i="13"/>
  <c r="A298" i="13"/>
  <c r="A296" i="13"/>
  <c r="A294" i="13"/>
  <c r="A292" i="13"/>
  <c r="A290" i="13"/>
  <c r="A286" i="13"/>
  <c r="A288" i="13"/>
  <c r="A284" i="13"/>
  <c r="D307" i="13"/>
  <c r="X304" i="13"/>
  <c r="G304" i="13"/>
  <c r="F304" i="13"/>
  <c r="E304" i="13"/>
  <c r="X283" i="13"/>
  <c r="W283" i="13"/>
  <c r="V283" i="13"/>
  <c r="U283" i="13"/>
  <c r="T283" i="13"/>
  <c r="S283" i="13"/>
  <c r="R283" i="13"/>
  <c r="Q283" i="13"/>
  <c r="P283" i="13"/>
  <c r="O283" i="13"/>
  <c r="N283" i="13"/>
  <c r="M283" i="13"/>
  <c r="L283" i="13"/>
  <c r="K283" i="13"/>
  <c r="J283" i="13"/>
  <c r="I283" i="13"/>
  <c r="H283" i="13"/>
  <c r="G283" i="13"/>
  <c r="F283" i="13"/>
  <c r="E283" i="13"/>
  <c r="D283" i="13"/>
  <c r="D219" i="13"/>
  <c r="D218" i="13" l="1"/>
  <c r="D317" i="13" s="1"/>
  <c r="I304" i="13"/>
  <c r="H304" i="13"/>
  <c r="D321" i="13" l="1"/>
  <c r="D322" i="13" s="1"/>
  <c r="D324" i="13" s="1"/>
  <c r="J304" i="13"/>
  <c r="K304" i="13" l="1"/>
  <c r="L304" i="13" l="1"/>
  <c r="Y177" i="13"/>
  <c r="Y175" i="13"/>
  <c r="Y173" i="13"/>
  <c r="Y171" i="13"/>
  <c r="Y169" i="13"/>
  <c r="Y167" i="13"/>
  <c r="Y165" i="13"/>
  <c r="Y163" i="13"/>
  <c r="Y161" i="13"/>
  <c r="Y112" i="13"/>
  <c r="Y110" i="13"/>
  <c r="Y108" i="13"/>
  <c r="Y106" i="13"/>
  <c r="Y104" i="13"/>
  <c r="Y102" i="13"/>
  <c r="Y100" i="13"/>
  <c r="Y98" i="13"/>
  <c r="Y96" i="13"/>
  <c r="M304" i="13" l="1"/>
  <c r="N304" i="13" l="1"/>
  <c r="O304" i="13" l="1"/>
  <c r="P304" i="13" l="1"/>
  <c r="Q304" i="13" l="1"/>
  <c r="R304" i="13" l="1"/>
  <c r="S304" i="13" l="1"/>
  <c r="T304" i="13" l="1"/>
  <c r="U304" i="13" l="1"/>
  <c r="V304" i="13" l="1"/>
  <c r="W304" i="13" l="1"/>
  <c r="E154" i="13" l="1"/>
  <c r="F154" i="13"/>
  <c r="G154" i="13"/>
  <c r="H154" i="13"/>
  <c r="I154" i="13"/>
  <c r="J154" i="13"/>
  <c r="K154" i="13"/>
  <c r="L154" i="13"/>
  <c r="M154" i="13"/>
  <c r="N154" i="13"/>
  <c r="O154" i="13"/>
  <c r="P154" i="13"/>
  <c r="Q154" i="13"/>
  <c r="R154" i="13"/>
  <c r="S154" i="13"/>
  <c r="T154" i="13"/>
  <c r="U154" i="13"/>
  <c r="V154" i="13"/>
  <c r="W154" i="13"/>
  <c r="X154" i="13"/>
  <c r="D154" i="13"/>
  <c r="F157" i="13"/>
  <c r="G157" i="13"/>
  <c r="H157" i="13"/>
  <c r="I157" i="13"/>
  <c r="J157" i="13"/>
  <c r="K157" i="13"/>
  <c r="L157" i="13"/>
  <c r="M157" i="13"/>
  <c r="N157" i="13"/>
  <c r="O157" i="13"/>
  <c r="P157" i="13"/>
  <c r="Q157" i="13"/>
  <c r="R157" i="13"/>
  <c r="S157" i="13"/>
  <c r="T157" i="13"/>
  <c r="U157" i="13"/>
  <c r="V157" i="13"/>
  <c r="W157" i="13"/>
  <c r="X157" i="13"/>
  <c r="E157" i="13"/>
  <c r="A177" i="13"/>
  <c r="A175" i="13"/>
  <c r="A173" i="13"/>
  <c r="A171" i="13"/>
  <c r="A169" i="13"/>
  <c r="A167" i="13"/>
  <c r="A165" i="13"/>
  <c r="A163" i="13"/>
  <c r="A161" i="13"/>
  <c r="A159" i="13"/>
  <c r="D182" i="13" l="1"/>
  <c r="X179" i="13"/>
  <c r="G179" i="13"/>
  <c r="F179" i="13"/>
  <c r="E179" i="13"/>
  <c r="X158" i="13"/>
  <c r="X153" i="13" s="1"/>
  <c r="W158" i="13"/>
  <c r="W153" i="13" s="1"/>
  <c r="V158" i="13"/>
  <c r="V153" i="13" s="1"/>
  <c r="U158" i="13"/>
  <c r="U153" i="13" s="1"/>
  <c r="T158" i="13"/>
  <c r="T153" i="13" s="1"/>
  <c r="S158" i="13"/>
  <c r="S153" i="13" s="1"/>
  <c r="R158" i="13"/>
  <c r="R153" i="13" s="1"/>
  <c r="Q158" i="13"/>
  <c r="Q153" i="13" s="1"/>
  <c r="P158" i="13"/>
  <c r="P153" i="13" s="1"/>
  <c r="O158" i="13"/>
  <c r="O153" i="13" s="1"/>
  <c r="N158" i="13"/>
  <c r="N153" i="13" s="1"/>
  <c r="M158" i="13"/>
  <c r="M153" i="13" s="1"/>
  <c r="L158" i="13"/>
  <c r="L153" i="13" s="1"/>
  <c r="K158" i="13"/>
  <c r="K153" i="13" s="1"/>
  <c r="J158" i="13"/>
  <c r="J153" i="13" s="1"/>
  <c r="I158" i="13"/>
  <c r="I153" i="13" s="1"/>
  <c r="H158" i="13"/>
  <c r="H153" i="13" s="1"/>
  <c r="G158" i="13"/>
  <c r="G153" i="13" s="1"/>
  <c r="F158" i="13"/>
  <c r="F153" i="13" s="1"/>
  <c r="E158" i="13"/>
  <c r="E153" i="13" s="1"/>
  <c r="D158" i="13"/>
  <c r="D153" i="13" s="1"/>
  <c r="D190" i="13" l="1"/>
  <c r="H179" i="13"/>
  <c r="D194" i="13" l="1"/>
  <c r="D195" i="13" s="1"/>
  <c r="D197" i="13" s="1"/>
  <c r="H184" i="13"/>
  <c r="I179" i="13"/>
  <c r="J179" i="13" l="1"/>
  <c r="G186" i="13"/>
  <c r="G184" i="13"/>
  <c r="F186" i="13"/>
  <c r="F184" i="13"/>
  <c r="I186" i="13"/>
  <c r="I184" i="13"/>
  <c r="E186" i="13"/>
  <c r="E184" i="13" l="1"/>
  <c r="E182" i="13" s="1"/>
  <c r="E190" i="13" s="1"/>
  <c r="H186" i="13"/>
  <c r="H182" i="13" s="1"/>
  <c r="H190" i="13" s="1"/>
  <c r="G182" i="13"/>
  <c r="G190" i="13" s="1"/>
  <c r="J186" i="13"/>
  <c r="J184" i="13"/>
  <c r="I182" i="13"/>
  <c r="I190" i="13" s="1"/>
  <c r="F182" i="13"/>
  <c r="F190" i="13" s="1"/>
  <c r="K179" i="13"/>
  <c r="H194" i="13" l="1"/>
  <c r="H195" i="13" s="1"/>
  <c r="H197" i="13" s="1"/>
  <c r="E194" i="13"/>
  <c r="E195" i="13" s="1"/>
  <c r="E197" i="13" s="1"/>
  <c r="G194" i="13"/>
  <c r="G195" i="13" s="1"/>
  <c r="G197" i="13" s="1"/>
  <c r="I194" i="13"/>
  <c r="K186" i="13"/>
  <c r="K184" i="13"/>
  <c r="L179" i="13"/>
  <c r="F194" i="13"/>
  <c r="J182" i="13"/>
  <c r="J190" i="13" s="1"/>
  <c r="I195" i="13" l="1"/>
  <c r="I197" i="13" s="1"/>
  <c r="F195" i="13"/>
  <c r="F197" i="13" s="1"/>
  <c r="K182" i="13"/>
  <c r="K190" i="13" s="1"/>
  <c r="J194" i="13"/>
  <c r="M179" i="13"/>
  <c r="L186" i="13"/>
  <c r="L184" i="13"/>
  <c r="K194" i="13" l="1"/>
  <c r="K195" i="13" s="1"/>
  <c r="K197" i="13" s="1"/>
  <c r="J195" i="13"/>
  <c r="J197" i="13" s="1"/>
  <c r="L182" i="13"/>
  <c r="L190" i="13" s="1"/>
  <c r="N179" i="13"/>
  <c r="M186" i="13"/>
  <c r="M184" i="13"/>
  <c r="L194" i="13" l="1"/>
  <c r="L195" i="13" s="1"/>
  <c r="L197" i="13" s="1"/>
  <c r="N186" i="13"/>
  <c r="N184" i="13"/>
  <c r="M182" i="13"/>
  <c r="M190" i="13" s="1"/>
  <c r="O179" i="13"/>
  <c r="N182" i="13" l="1"/>
  <c r="N190" i="13" s="1"/>
  <c r="O186" i="13"/>
  <c r="O184" i="13"/>
  <c r="M194" i="13"/>
  <c r="P179" i="13"/>
  <c r="N194" i="13" l="1"/>
  <c r="N195" i="13" s="1"/>
  <c r="N197" i="13" s="1"/>
  <c r="M195" i="13"/>
  <c r="M197" i="13" s="1"/>
  <c r="Q179" i="13"/>
  <c r="O182" i="13"/>
  <c r="O190" i="13" s="1"/>
  <c r="P186" i="13"/>
  <c r="P184" i="13"/>
  <c r="P182" i="13" l="1"/>
  <c r="P190" i="13" s="1"/>
  <c r="O194" i="13"/>
  <c r="Q186" i="13"/>
  <c r="Q184" i="13"/>
  <c r="R179" i="13"/>
  <c r="P194" i="13" l="1"/>
  <c r="P195" i="13" s="1"/>
  <c r="P197" i="13" s="1"/>
  <c r="O195" i="13"/>
  <c r="O197" i="13" s="1"/>
  <c r="Q182" i="13"/>
  <c r="Q190" i="13" s="1"/>
  <c r="R186" i="13"/>
  <c r="R184" i="13"/>
  <c r="S179" i="13"/>
  <c r="R182" i="13" l="1"/>
  <c r="R190" i="13" s="1"/>
  <c r="S186" i="13"/>
  <c r="S184" i="13"/>
  <c r="T179" i="13"/>
  <c r="Q194" i="13"/>
  <c r="R194" i="13" l="1"/>
  <c r="R195" i="13" s="1"/>
  <c r="R197" i="13" s="1"/>
  <c r="Q195" i="13"/>
  <c r="Q197" i="13" s="1"/>
  <c r="S182" i="13"/>
  <c r="S190" i="13" s="1"/>
  <c r="T186" i="13"/>
  <c r="T184" i="13"/>
  <c r="U179" i="13"/>
  <c r="X186" i="13"/>
  <c r="X184" i="13"/>
  <c r="S194" i="13" l="1"/>
  <c r="S195" i="13" s="1"/>
  <c r="S197" i="13" s="1"/>
  <c r="X182" i="13"/>
  <c r="X190" i="13" s="1"/>
  <c r="T182" i="13"/>
  <c r="T190" i="13" s="1"/>
  <c r="V179" i="13"/>
  <c r="Y159" i="13"/>
  <c r="U186" i="13"/>
  <c r="T194" i="13" l="1"/>
  <c r="T195" i="13" s="1"/>
  <c r="T197" i="13" s="1"/>
  <c r="X194" i="13"/>
  <c r="X195" i="13" s="1"/>
  <c r="X197" i="13" s="1"/>
  <c r="U184" i="13"/>
  <c r="U182" i="13" s="1"/>
  <c r="U190" i="13" s="1"/>
  <c r="W179" i="13"/>
  <c r="V186" i="13"/>
  <c r="V184" i="13"/>
  <c r="U194" i="13" l="1"/>
  <c r="U195" i="13" s="1"/>
  <c r="U197" i="13" s="1"/>
  <c r="V182" i="13"/>
  <c r="V190" i="13" s="1"/>
  <c r="W186" i="13"/>
  <c r="W184" i="13"/>
  <c r="V194" i="13" l="1"/>
  <c r="V195" i="13" s="1"/>
  <c r="V197" i="13" s="1"/>
  <c r="W182" i="13"/>
  <c r="W190" i="13" s="1"/>
  <c r="W194" i="13" l="1"/>
  <c r="W195" i="13" s="1"/>
  <c r="W197" i="13" l="1"/>
  <c r="D199" i="13" s="1"/>
  <c r="E93" i="13" l="1"/>
  <c r="H38" i="11" l="1"/>
  <c r="H39" i="11"/>
  <c r="H40" i="11"/>
  <c r="H41" i="11"/>
  <c r="H42" i="11"/>
  <c r="H43" i="11"/>
  <c r="H44" i="11"/>
  <c r="H45" i="11"/>
  <c r="H46" i="11"/>
  <c r="H37" i="11"/>
  <c r="H47" i="11" l="1"/>
  <c r="F36" i="11"/>
  <c r="B38" i="11" l="1"/>
  <c r="C38" i="11"/>
  <c r="D38" i="11" s="1"/>
  <c r="B39" i="11"/>
  <c r="C39" i="11"/>
  <c r="D39" i="11" s="1"/>
  <c r="B40" i="11"/>
  <c r="C40" i="11"/>
  <c r="D40" i="11" s="1"/>
  <c r="B41" i="11"/>
  <c r="C41" i="11"/>
  <c r="D41" i="11" s="1"/>
  <c r="B42" i="11"/>
  <c r="C42" i="11"/>
  <c r="D42" i="11" s="1"/>
  <c r="B43" i="11"/>
  <c r="C43" i="11"/>
  <c r="D43" i="11" s="1"/>
  <c r="B44" i="11"/>
  <c r="C44" i="11"/>
  <c r="D44" i="11" s="1"/>
  <c r="B45" i="11"/>
  <c r="C45" i="11"/>
  <c r="D45" i="11" s="1"/>
  <c r="B46" i="11"/>
  <c r="C46" i="11"/>
  <c r="D46" i="11" s="1"/>
  <c r="C37" i="11"/>
  <c r="C36" i="11"/>
  <c r="G45" i="11" l="1"/>
  <c r="I45" i="11" s="1"/>
  <c r="G43" i="11"/>
  <c r="I43" i="11" s="1"/>
  <c r="G41" i="11"/>
  <c r="I41" i="11" s="1"/>
  <c r="G39" i="11"/>
  <c r="I39" i="11" s="1"/>
  <c r="G44" i="11"/>
  <c r="I44" i="11" s="1"/>
  <c r="G42" i="11"/>
  <c r="I42" i="11" s="1"/>
  <c r="G40" i="11"/>
  <c r="I40" i="11" s="1"/>
  <c r="G38" i="11"/>
  <c r="I38" i="11" s="1"/>
  <c r="G37" i="11"/>
  <c r="I37" i="11" s="1"/>
  <c r="G46" i="11"/>
  <c r="I46" i="11" s="1"/>
  <c r="D37" i="11"/>
  <c r="B37" i="11"/>
  <c r="F47" i="11" l="1"/>
  <c r="G47" i="11"/>
  <c r="B36" i="11"/>
  <c r="H3" i="11"/>
  <c r="I47" i="11" l="1"/>
  <c r="C53" i="7"/>
  <c r="C54" i="7"/>
  <c r="F114" i="13" l="1"/>
  <c r="G114" i="13"/>
  <c r="X114" i="13"/>
  <c r="E114" i="13"/>
  <c r="F93" i="13"/>
  <c r="G93" i="13"/>
  <c r="X93" i="13"/>
  <c r="D93" i="13"/>
  <c r="D29" i="13"/>
  <c r="A112" i="13"/>
  <c r="A110" i="13"/>
  <c r="A108" i="13"/>
  <c r="A106" i="13"/>
  <c r="A104" i="13"/>
  <c r="A102" i="13"/>
  <c r="A100" i="13"/>
  <c r="A98" i="13"/>
  <c r="A96" i="13"/>
  <c r="A94" i="13"/>
  <c r="D28" i="13" l="1"/>
  <c r="J93" i="13"/>
  <c r="H114" i="13"/>
  <c r="I93" i="13"/>
  <c r="H93" i="13"/>
  <c r="A18" i="12"/>
  <c r="A17" i="12"/>
  <c r="A16" i="12"/>
  <c r="A15" i="12"/>
  <c r="A14" i="12"/>
  <c r="A13" i="12"/>
  <c r="A12" i="12"/>
  <c r="A11" i="12"/>
  <c r="A10" i="12"/>
  <c r="A9" i="12"/>
  <c r="A51" i="13" l="1"/>
  <c r="A241" i="13"/>
  <c r="A30" i="13"/>
  <c r="A220" i="13"/>
  <c r="A33" i="13"/>
  <c r="A223" i="13"/>
  <c r="A57" i="13"/>
  <c r="A247" i="13"/>
  <c r="A39" i="13"/>
  <c r="A229" i="13"/>
  <c r="A42" i="13"/>
  <c r="A232" i="13"/>
  <c r="A54" i="13"/>
  <c r="A244" i="13"/>
  <c r="A45" i="13"/>
  <c r="A235" i="13"/>
  <c r="A36" i="13"/>
  <c r="A226" i="13"/>
  <c r="A48" i="13"/>
  <c r="A238" i="13"/>
  <c r="I114" i="13"/>
  <c r="K114" i="13"/>
  <c r="J114" i="13"/>
  <c r="K93" i="13"/>
  <c r="L114" i="13" l="1"/>
  <c r="L93" i="13"/>
  <c r="M114" i="13" l="1"/>
  <c r="M93" i="13"/>
  <c r="N114" i="13" l="1"/>
  <c r="N93" i="13"/>
  <c r="O114" i="13" l="1"/>
  <c r="O93" i="13"/>
  <c r="F105" i="7"/>
  <c r="E105" i="7"/>
  <c r="D105" i="7"/>
  <c r="C105" i="7"/>
  <c r="F104" i="7"/>
  <c r="E104" i="7"/>
  <c r="D104" i="7"/>
  <c r="C104" i="7"/>
  <c r="F103" i="7"/>
  <c r="E103" i="7"/>
  <c r="D103" i="7"/>
  <c r="C103" i="7"/>
  <c r="F99" i="7"/>
  <c r="E99" i="7"/>
  <c r="D99" i="7"/>
  <c r="C99" i="7"/>
  <c r="F97" i="7"/>
  <c r="E97" i="7"/>
  <c r="D97" i="7"/>
  <c r="C97" i="7"/>
  <c r="F91" i="7"/>
  <c r="E91" i="7"/>
  <c r="D91" i="7"/>
  <c r="C91" i="7"/>
  <c r="F90" i="7"/>
  <c r="E90" i="7"/>
  <c r="D90" i="7"/>
  <c r="C90" i="7"/>
  <c r="F89" i="7"/>
  <c r="E89" i="7"/>
  <c r="D89" i="7"/>
  <c r="C89" i="7"/>
  <c r="F88" i="7"/>
  <c r="E88" i="7"/>
  <c r="D88" i="7"/>
  <c r="C88" i="7"/>
  <c r="F87" i="7"/>
  <c r="E87" i="7"/>
  <c r="D87" i="7"/>
  <c r="C87" i="7"/>
  <c r="F85" i="7"/>
  <c r="E85" i="7"/>
  <c r="D85" i="7"/>
  <c r="C85" i="7"/>
  <c r="F83" i="7"/>
  <c r="E83" i="7"/>
  <c r="D83" i="7"/>
  <c r="C83" i="7"/>
  <c r="B62" i="7"/>
  <c r="B61" i="7"/>
  <c r="B60" i="7"/>
  <c r="B59" i="7"/>
  <c r="B58" i="7"/>
  <c r="B57" i="7"/>
  <c r="B56" i="7"/>
  <c r="B55" i="7"/>
  <c r="B54" i="7"/>
  <c r="B53" i="7"/>
  <c r="B49" i="7"/>
  <c r="B48" i="7"/>
  <c r="B47" i="7"/>
  <c r="B46" i="7"/>
  <c r="B45" i="7"/>
  <c r="B44" i="7"/>
  <c r="B43" i="7"/>
  <c r="B42" i="7"/>
  <c r="B41" i="7"/>
  <c r="B40" i="7"/>
  <c r="B36" i="7"/>
  <c r="B35" i="7"/>
  <c r="B34" i="7"/>
  <c r="B33" i="7"/>
  <c r="B32" i="7"/>
  <c r="B31" i="7"/>
  <c r="B30" i="7"/>
  <c r="B29" i="7"/>
  <c r="B28" i="7"/>
  <c r="B27" i="7"/>
  <c r="B24" i="7"/>
  <c r="D7" i="7"/>
  <c r="D6" i="7"/>
  <c r="D5" i="7"/>
  <c r="D381" i="5" l="1"/>
  <c r="D382" i="5" s="1"/>
  <c r="D415" i="5"/>
  <c r="D416" i="5" s="1"/>
  <c r="D551" i="5"/>
  <c r="D552" i="5" s="1"/>
  <c r="D449" i="5"/>
  <c r="D450" i="5" s="1"/>
  <c r="E27" i="12"/>
  <c r="D483" i="5"/>
  <c r="D484" i="5" s="1"/>
  <c r="D517" i="5"/>
  <c r="D518" i="5" s="1"/>
  <c r="D472" i="5"/>
  <c r="K462" i="5" s="1"/>
  <c r="K459" i="5" s="1"/>
  <c r="F472" i="5"/>
  <c r="L462" i="5" s="1"/>
  <c r="D642" i="5"/>
  <c r="K632" i="5" s="1"/>
  <c r="K629" i="5" s="1"/>
  <c r="F642" i="5"/>
  <c r="L632" i="5" s="1"/>
  <c r="L629" i="5" s="1"/>
  <c r="D585" i="5"/>
  <c r="D586" i="5" s="1"/>
  <c r="D619" i="5"/>
  <c r="D620" i="5" s="1"/>
  <c r="D653" i="5"/>
  <c r="D654" i="5" s="1"/>
  <c r="D687" i="5"/>
  <c r="D688" i="5" s="1"/>
  <c r="F410" i="5"/>
  <c r="L393" i="5" s="1"/>
  <c r="F682" i="5"/>
  <c r="L665" i="5" s="1"/>
  <c r="F478" i="5"/>
  <c r="L461" i="5" s="1"/>
  <c r="F546" i="5"/>
  <c r="L529" i="5" s="1"/>
  <c r="F614" i="5"/>
  <c r="L597" i="5" s="1"/>
  <c r="F580" i="5"/>
  <c r="L563" i="5" s="1"/>
  <c r="E13" i="12"/>
  <c r="E17" i="12"/>
  <c r="E21" i="12"/>
  <c r="E25" i="12"/>
  <c r="E9" i="12"/>
  <c r="E10" i="12"/>
  <c r="E14" i="12"/>
  <c r="E18" i="12"/>
  <c r="E22" i="12"/>
  <c r="E26" i="12"/>
  <c r="E11" i="12"/>
  <c r="E15" i="12"/>
  <c r="E19" i="12"/>
  <c r="E23" i="12"/>
  <c r="E12" i="12"/>
  <c r="E16" i="12"/>
  <c r="E20" i="12"/>
  <c r="E24" i="12"/>
  <c r="E28" i="12"/>
  <c r="D609" i="5"/>
  <c r="D507" i="5"/>
  <c r="D439" i="5"/>
  <c r="D405" i="5"/>
  <c r="D643" i="5"/>
  <c r="D575" i="5"/>
  <c r="D541" i="5"/>
  <c r="D473" i="5"/>
  <c r="D371" i="5"/>
  <c r="D677" i="5"/>
  <c r="D645" i="5"/>
  <c r="K635" i="5" s="1"/>
  <c r="D543" i="5"/>
  <c r="K533" i="5" s="1"/>
  <c r="D373" i="5"/>
  <c r="K363" i="5" s="1"/>
  <c r="D475" i="5"/>
  <c r="K465" i="5" s="1"/>
  <c r="D509" i="5"/>
  <c r="K499" i="5" s="1"/>
  <c r="D577" i="5"/>
  <c r="K567" i="5" s="1"/>
  <c r="D611" i="5"/>
  <c r="K601" i="5" s="1"/>
  <c r="D679" i="5"/>
  <c r="K669" i="5" s="1"/>
  <c r="D441" i="5"/>
  <c r="K431" i="5" s="1"/>
  <c r="D407" i="5"/>
  <c r="K397" i="5" s="1"/>
  <c r="F606" i="5"/>
  <c r="D673" i="5"/>
  <c r="F674" i="5"/>
  <c r="F648" i="5"/>
  <c r="L631" i="5" s="1"/>
  <c r="D571" i="5"/>
  <c r="F572" i="5"/>
  <c r="F470" i="5"/>
  <c r="I25" i="11" s="1"/>
  <c r="F504" i="5"/>
  <c r="I26" i="11" s="1"/>
  <c r="F402" i="5"/>
  <c r="F376" i="5"/>
  <c r="L359" i="5" s="1"/>
  <c r="D639" i="5"/>
  <c r="F640" i="5"/>
  <c r="D605" i="5"/>
  <c r="D537" i="5"/>
  <c r="F538" i="5"/>
  <c r="D401" i="5"/>
  <c r="D367" i="5"/>
  <c r="F368" i="5"/>
  <c r="D469" i="5"/>
  <c r="G25" i="11" s="1"/>
  <c r="D503" i="5"/>
  <c r="G26" i="11" s="1"/>
  <c r="F444" i="5"/>
  <c r="L427" i="5" s="1"/>
  <c r="F512" i="5"/>
  <c r="L495" i="5" s="1"/>
  <c r="L493" i="5" s="1"/>
  <c r="D435" i="5"/>
  <c r="F436" i="5"/>
  <c r="P114" i="13"/>
  <c r="P93" i="13"/>
  <c r="H14" i="11" l="1"/>
  <c r="H16" i="11"/>
  <c r="H19" i="11"/>
  <c r="H21" i="11"/>
  <c r="H15" i="11"/>
  <c r="H17" i="11"/>
  <c r="H13" i="11"/>
  <c r="I19" i="12"/>
  <c r="H18" i="11"/>
  <c r="H20" i="11"/>
  <c r="D678" i="5"/>
  <c r="K668" i="5" s="1"/>
  <c r="K667" i="5" s="1"/>
  <c r="K672" i="5" s="1"/>
  <c r="D508" i="5"/>
  <c r="K498" i="5" s="1"/>
  <c r="D406" i="5"/>
  <c r="K396" i="5" s="1"/>
  <c r="K395" i="5" s="1"/>
  <c r="K400" i="5" s="1"/>
  <c r="D372" i="5"/>
  <c r="K362" i="5" s="1"/>
  <c r="K361" i="5" s="1"/>
  <c r="K366" i="5" s="1"/>
  <c r="D610" i="5"/>
  <c r="K600" i="5" s="1"/>
  <c r="K599" i="5" s="1"/>
  <c r="K604" i="5" s="1"/>
  <c r="D474" i="5"/>
  <c r="K464" i="5" s="1"/>
  <c r="D542" i="5"/>
  <c r="K532" i="5" s="1"/>
  <c r="D644" i="5"/>
  <c r="K634" i="5" s="1"/>
  <c r="K633" i="5" s="1"/>
  <c r="K638" i="5" s="1"/>
  <c r="D576" i="5"/>
  <c r="K566" i="5" s="1"/>
  <c r="K565" i="5" s="1"/>
  <c r="K570" i="5" s="1"/>
  <c r="D440" i="5"/>
  <c r="K430" i="5" s="1"/>
  <c r="L459" i="5"/>
  <c r="F536" i="5"/>
  <c r="L534" i="5" s="1"/>
  <c r="L531" i="5" s="1"/>
  <c r="L536" i="5" s="1"/>
  <c r="H27" i="11"/>
  <c r="J27" i="11" s="1"/>
  <c r="F502" i="5"/>
  <c r="L500" i="5" s="1"/>
  <c r="L497" i="5" s="1"/>
  <c r="L502" i="5" s="1"/>
  <c r="H26" i="11"/>
  <c r="J26" i="11" s="1"/>
  <c r="F366" i="5"/>
  <c r="L364" i="5" s="1"/>
  <c r="L361" i="5" s="1"/>
  <c r="L366" i="5" s="1"/>
  <c r="H22" i="11"/>
  <c r="J22" i="11" s="1"/>
  <c r="F26" i="5"/>
  <c r="H12" i="11"/>
  <c r="F672" i="5"/>
  <c r="L670" i="5" s="1"/>
  <c r="L667" i="5" s="1"/>
  <c r="L672" i="5" s="1"/>
  <c r="H31" i="11"/>
  <c r="J31" i="11" s="1"/>
  <c r="F570" i="5"/>
  <c r="L568" i="5" s="1"/>
  <c r="L565" i="5" s="1"/>
  <c r="L570" i="5" s="1"/>
  <c r="H28" i="11"/>
  <c r="J28" i="11" s="1"/>
  <c r="F434" i="5"/>
  <c r="L432" i="5" s="1"/>
  <c r="L429" i="5" s="1"/>
  <c r="L434" i="5" s="1"/>
  <c r="H24" i="11"/>
  <c r="J24" i="11" s="1"/>
  <c r="F604" i="5"/>
  <c r="L602" i="5" s="1"/>
  <c r="L599" i="5" s="1"/>
  <c r="L604" i="5" s="1"/>
  <c r="H29" i="11"/>
  <c r="J29" i="11" s="1"/>
  <c r="I24" i="12"/>
  <c r="F400" i="5"/>
  <c r="L398" i="5" s="1"/>
  <c r="L395" i="5" s="1"/>
  <c r="L400" i="5" s="1"/>
  <c r="H23" i="11"/>
  <c r="J23" i="11" s="1"/>
  <c r="F638" i="5"/>
  <c r="L636" i="5" s="1"/>
  <c r="L633" i="5" s="1"/>
  <c r="H30" i="11"/>
  <c r="J30" i="11" s="1"/>
  <c r="F468" i="5"/>
  <c r="L466" i="5" s="1"/>
  <c r="L463" i="5" s="1"/>
  <c r="H25" i="11"/>
  <c r="J25" i="11" s="1"/>
  <c r="K398" i="5"/>
  <c r="K670" i="5"/>
  <c r="K636" i="5"/>
  <c r="K500" i="5"/>
  <c r="I17" i="12"/>
  <c r="F298" i="5"/>
  <c r="K568" i="5"/>
  <c r="I16" i="12"/>
  <c r="F264" i="5"/>
  <c r="K534" i="5"/>
  <c r="I15" i="12"/>
  <c r="F230" i="5"/>
  <c r="I18" i="12"/>
  <c r="F332" i="5"/>
  <c r="K602" i="5"/>
  <c r="I10" i="12"/>
  <c r="F60" i="5"/>
  <c r="K432" i="5"/>
  <c r="K466" i="5"/>
  <c r="K364" i="5"/>
  <c r="I11" i="12"/>
  <c r="F94" i="5"/>
  <c r="I13" i="12"/>
  <c r="F162" i="5"/>
  <c r="I12" i="12"/>
  <c r="F128" i="5"/>
  <c r="I14" i="12"/>
  <c r="F196" i="5"/>
  <c r="I26" i="12"/>
  <c r="I23" i="12"/>
  <c r="I22" i="12"/>
  <c r="I20" i="12"/>
  <c r="I21" i="12"/>
  <c r="F21" i="12"/>
  <c r="I28" i="12"/>
  <c r="I25" i="12"/>
  <c r="I27" i="12"/>
  <c r="I9" i="12"/>
  <c r="F9" i="12"/>
  <c r="Q114" i="13"/>
  <c r="F19" i="12"/>
  <c r="F25" i="12"/>
  <c r="F27" i="12"/>
  <c r="F23" i="12"/>
  <c r="F22" i="12"/>
  <c r="F24" i="12"/>
  <c r="F26" i="12"/>
  <c r="F20" i="12"/>
  <c r="F28" i="12"/>
  <c r="F12" i="12"/>
  <c r="F18" i="12"/>
  <c r="F13" i="12"/>
  <c r="F17" i="12"/>
  <c r="F15" i="12"/>
  <c r="F14" i="12"/>
  <c r="F11" i="12"/>
  <c r="F16" i="12"/>
  <c r="F10" i="12"/>
  <c r="Q93" i="13"/>
  <c r="F348" i="5"/>
  <c r="F347" i="5"/>
  <c r="F314" i="5"/>
  <c r="F313" i="5"/>
  <c r="F280" i="5"/>
  <c r="F279" i="5"/>
  <c r="F246" i="5"/>
  <c r="F245" i="5"/>
  <c r="F212" i="5"/>
  <c r="F211" i="5"/>
  <c r="F178" i="5"/>
  <c r="F177" i="5"/>
  <c r="F144" i="5"/>
  <c r="F143" i="5"/>
  <c r="F110" i="5"/>
  <c r="F109" i="5"/>
  <c r="F75" i="5"/>
  <c r="F41" i="5"/>
  <c r="F76" i="5"/>
  <c r="U233" i="13" l="1"/>
  <c r="U234" i="13" s="1"/>
  <c r="M233" i="13"/>
  <c r="M234" i="13" s="1"/>
  <c r="E233" i="13"/>
  <c r="E234" i="13" s="1"/>
  <c r="V43" i="13"/>
  <c r="V44" i="13" s="1"/>
  <c r="N43" i="13"/>
  <c r="N44" i="13" s="1"/>
  <c r="F43" i="13"/>
  <c r="F44" i="13" s="1"/>
  <c r="T233" i="13"/>
  <c r="T234" i="13" s="1"/>
  <c r="L233" i="13"/>
  <c r="L234" i="13" s="1"/>
  <c r="U43" i="13"/>
  <c r="U44" i="13" s="1"/>
  <c r="M43" i="13"/>
  <c r="M44" i="13" s="1"/>
  <c r="E43" i="13"/>
  <c r="E44" i="13" s="1"/>
  <c r="S233" i="13"/>
  <c r="S234" i="13" s="1"/>
  <c r="K233" i="13"/>
  <c r="K234" i="13" s="1"/>
  <c r="T43" i="13"/>
  <c r="T44" i="13" s="1"/>
  <c r="L43" i="13"/>
  <c r="L44" i="13" s="1"/>
  <c r="R233" i="13"/>
  <c r="R234" i="13" s="1"/>
  <c r="J233" i="13"/>
  <c r="J234" i="13" s="1"/>
  <c r="S43" i="13"/>
  <c r="S44" i="13" s="1"/>
  <c r="K43" i="13"/>
  <c r="K44" i="13" s="1"/>
  <c r="Q233" i="13"/>
  <c r="Q234" i="13" s="1"/>
  <c r="I233" i="13"/>
  <c r="I234" i="13" s="1"/>
  <c r="R43" i="13"/>
  <c r="R44" i="13" s="1"/>
  <c r="J43" i="13"/>
  <c r="J44" i="13" s="1"/>
  <c r="X233" i="13"/>
  <c r="X234" i="13" s="1"/>
  <c r="P233" i="13"/>
  <c r="P234" i="13" s="1"/>
  <c r="H233" i="13"/>
  <c r="H234" i="13" s="1"/>
  <c r="Q43" i="13"/>
  <c r="Q44" i="13" s="1"/>
  <c r="I43" i="13"/>
  <c r="I44" i="13" s="1"/>
  <c r="W233" i="13"/>
  <c r="W234" i="13" s="1"/>
  <c r="O233" i="13"/>
  <c r="O234" i="13" s="1"/>
  <c r="G233" i="13"/>
  <c r="G234" i="13" s="1"/>
  <c r="X43" i="13"/>
  <c r="X44" i="13" s="1"/>
  <c r="P43" i="13"/>
  <c r="P44" i="13" s="1"/>
  <c r="H43" i="13"/>
  <c r="H44" i="13" s="1"/>
  <c r="V233" i="13"/>
  <c r="V234" i="13" s="1"/>
  <c r="N233" i="13"/>
  <c r="N234" i="13" s="1"/>
  <c r="F233" i="13"/>
  <c r="F234" i="13" s="1"/>
  <c r="W43" i="13"/>
  <c r="W44" i="13" s="1"/>
  <c r="O43" i="13"/>
  <c r="O44" i="13" s="1"/>
  <c r="G43" i="13"/>
  <c r="G44" i="13" s="1"/>
  <c r="H263" i="13"/>
  <c r="H264" i="13" s="1"/>
  <c r="G263" i="13"/>
  <c r="G264" i="13" s="1"/>
  <c r="F263" i="13"/>
  <c r="F264" i="13" s="1"/>
  <c r="E263" i="13"/>
  <c r="E264" i="13" s="1"/>
  <c r="I263" i="13"/>
  <c r="I264" i="13" s="1"/>
  <c r="J263" i="13"/>
  <c r="J264" i="13" s="1"/>
  <c r="K263" i="13"/>
  <c r="K264" i="13" s="1"/>
  <c r="L263" i="13"/>
  <c r="L264" i="13" s="1"/>
  <c r="M263" i="13"/>
  <c r="M264" i="13" s="1"/>
  <c r="N263" i="13"/>
  <c r="N264" i="13" s="1"/>
  <c r="O263" i="13"/>
  <c r="O264" i="13" s="1"/>
  <c r="P263" i="13"/>
  <c r="P264" i="13" s="1"/>
  <c r="Q263" i="13"/>
  <c r="Q264" i="13" s="1"/>
  <c r="R263" i="13"/>
  <c r="R264" i="13" s="1"/>
  <c r="S263" i="13"/>
  <c r="S264" i="13" s="1"/>
  <c r="T263" i="13"/>
  <c r="T264" i="13" s="1"/>
  <c r="U263" i="13"/>
  <c r="U264" i="13" s="1"/>
  <c r="V263" i="13"/>
  <c r="V264" i="13" s="1"/>
  <c r="X263" i="13"/>
  <c r="X264" i="13" s="1"/>
  <c r="W263" i="13"/>
  <c r="W264" i="13" s="1"/>
  <c r="Q248" i="13"/>
  <c r="Q249" i="13" s="1"/>
  <c r="I248" i="13"/>
  <c r="I249" i="13" s="1"/>
  <c r="R58" i="13"/>
  <c r="R59" i="13" s="1"/>
  <c r="J58" i="13"/>
  <c r="J59" i="13" s="1"/>
  <c r="X248" i="13"/>
  <c r="X249" i="13" s="1"/>
  <c r="P248" i="13"/>
  <c r="P249" i="13" s="1"/>
  <c r="H248" i="13"/>
  <c r="H249" i="13" s="1"/>
  <c r="Q58" i="13"/>
  <c r="Q59" i="13" s="1"/>
  <c r="I58" i="13"/>
  <c r="I59" i="13" s="1"/>
  <c r="W248" i="13"/>
  <c r="W249" i="13" s="1"/>
  <c r="O248" i="13"/>
  <c r="O249" i="13" s="1"/>
  <c r="G248" i="13"/>
  <c r="G249" i="13" s="1"/>
  <c r="X58" i="13"/>
  <c r="X59" i="13" s="1"/>
  <c r="P58" i="13"/>
  <c r="P59" i="13" s="1"/>
  <c r="H58" i="13"/>
  <c r="H59" i="13" s="1"/>
  <c r="V248" i="13"/>
  <c r="V249" i="13" s="1"/>
  <c r="N248" i="13"/>
  <c r="N249" i="13" s="1"/>
  <c r="F248" i="13"/>
  <c r="F249" i="13" s="1"/>
  <c r="W58" i="13"/>
  <c r="W59" i="13" s="1"/>
  <c r="O58" i="13"/>
  <c r="O59" i="13" s="1"/>
  <c r="G58" i="13"/>
  <c r="G59" i="13" s="1"/>
  <c r="U248" i="13"/>
  <c r="U249" i="13" s="1"/>
  <c r="M248" i="13"/>
  <c r="M249" i="13" s="1"/>
  <c r="E248" i="13"/>
  <c r="E249" i="13" s="1"/>
  <c r="V58" i="13"/>
  <c r="V59" i="13" s="1"/>
  <c r="N58" i="13"/>
  <c r="N59" i="13" s="1"/>
  <c r="F58" i="13"/>
  <c r="F59" i="13" s="1"/>
  <c r="T248" i="13"/>
  <c r="T249" i="13" s="1"/>
  <c r="L248" i="13"/>
  <c r="L249" i="13" s="1"/>
  <c r="U58" i="13"/>
  <c r="U59" i="13" s="1"/>
  <c r="M58" i="13"/>
  <c r="M59" i="13" s="1"/>
  <c r="E58" i="13"/>
  <c r="E59" i="13" s="1"/>
  <c r="S248" i="13"/>
  <c r="S249" i="13" s="1"/>
  <c r="K248" i="13"/>
  <c r="K249" i="13" s="1"/>
  <c r="T58" i="13"/>
  <c r="T59" i="13" s="1"/>
  <c r="L58" i="13"/>
  <c r="L59" i="13" s="1"/>
  <c r="R248" i="13"/>
  <c r="R249" i="13" s="1"/>
  <c r="J248" i="13"/>
  <c r="J249" i="13" s="1"/>
  <c r="S58" i="13"/>
  <c r="S59" i="13" s="1"/>
  <c r="K58" i="13"/>
  <c r="K59" i="13" s="1"/>
  <c r="S275" i="13"/>
  <c r="S276" i="13" s="1"/>
  <c r="K275" i="13"/>
  <c r="K276" i="13" s="1"/>
  <c r="R85" i="13"/>
  <c r="R86" i="13" s="1"/>
  <c r="J85" i="13"/>
  <c r="J86" i="13" s="1"/>
  <c r="R275" i="13"/>
  <c r="R276" i="13" s="1"/>
  <c r="J275" i="13"/>
  <c r="J276" i="13" s="1"/>
  <c r="Q85" i="13"/>
  <c r="Q86" i="13" s="1"/>
  <c r="I85" i="13"/>
  <c r="I86" i="13" s="1"/>
  <c r="Q275" i="13"/>
  <c r="Q276" i="13" s="1"/>
  <c r="I275" i="13"/>
  <c r="I276" i="13" s="1"/>
  <c r="X85" i="13"/>
  <c r="X86" i="13" s="1"/>
  <c r="P85" i="13"/>
  <c r="P86" i="13" s="1"/>
  <c r="H85" i="13"/>
  <c r="H86" i="13" s="1"/>
  <c r="X275" i="13"/>
  <c r="X276" i="13" s="1"/>
  <c r="P275" i="13"/>
  <c r="P276" i="13" s="1"/>
  <c r="H275" i="13"/>
  <c r="H276" i="13" s="1"/>
  <c r="W85" i="13"/>
  <c r="W86" i="13" s="1"/>
  <c r="O85" i="13"/>
  <c r="O86" i="13" s="1"/>
  <c r="G85" i="13"/>
  <c r="G86" i="13" s="1"/>
  <c r="W275" i="13"/>
  <c r="W276" i="13" s="1"/>
  <c r="O275" i="13"/>
  <c r="O276" i="13" s="1"/>
  <c r="G275" i="13"/>
  <c r="G276" i="13" s="1"/>
  <c r="V85" i="13"/>
  <c r="V86" i="13" s="1"/>
  <c r="N85" i="13"/>
  <c r="N86" i="13" s="1"/>
  <c r="F85" i="13"/>
  <c r="F86" i="13" s="1"/>
  <c r="V275" i="13"/>
  <c r="V276" i="13" s="1"/>
  <c r="N275" i="13"/>
  <c r="N276" i="13" s="1"/>
  <c r="F275" i="13"/>
  <c r="F276" i="13" s="1"/>
  <c r="U85" i="13"/>
  <c r="U86" i="13" s="1"/>
  <c r="M85" i="13"/>
  <c r="M86" i="13" s="1"/>
  <c r="E85" i="13"/>
  <c r="E86" i="13" s="1"/>
  <c r="U275" i="13"/>
  <c r="U276" i="13" s="1"/>
  <c r="M275" i="13"/>
  <c r="M276" i="13" s="1"/>
  <c r="E275" i="13"/>
  <c r="E276" i="13" s="1"/>
  <c r="T85" i="13"/>
  <c r="T86" i="13" s="1"/>
  <c r="L85" i="13"/>
  <c r="L86" i="13" s="1"/>
  <c r="T275" i="13"/>
  <c r="T276" i="13" s="1"/>
  <c r="L275" i="13"/>
  <c r="L276" i="13" s="1"/>
  <c r="S85" i="13"/>
  <c r="S86" i="13" s="1"/>
  <c r="K85" i="13"/>
  <c r="K86" i="13" s="1"/>
  <c r="T269" i="13"/>
  <c r="T270" i="13" s="1"/>
  <c r="L269" i="13"/>
  <c r="L270" i="13" s="1"/>
  <c r="R79" i="13"/>
  <c r="R80" i="13" s="1"/>
  <c r="J79" i="13"/>
  <c r="J80" i="13" s="1"/>
  <c r="S269" i="13"/>
  <c r="S270" i="13" s="1"/>
  <c r="K269" i="13"/>
  <c r="K270" i="13" s="1"/>
  <c r="Q79" i="13"/>
  <c r="Q80" i="13" s="1"/>
  <c r="I79" i="13"/>
  <c r="I80" i="13" s="1"/>
  <c r="R269" i="13"/>
  <c r="R270" i="13" s="1"/>
  <c r="J269" i="13"/>
  <c r="J270" i="13" s="1"/>
  <c r="X79" i="13"/>
  <c r="X80" i="13" s="1"/>
  <c r="P79" i="13"/>
  <c r="P80" i="13" s="1"/>
  <c r="H79" i="13"/>
  <c r="H80" i="13" s="1"/>
  <c r="Q269" i="13"/>
  <c r="Q270" i="13" s="1"/>
  <c r="I269" i="13"/>
  <c r="I270" i="13" s="1"/>
  <c r="W79" i="13"/>
  <c r="W80" i="13" s="1"/>
  <c r="O79" i="13"/>
  <c r="O80" i="13" s="1"/>
  <c r="G79" i="13"/>
  <c r="G80" i="13" s="1"/>
  <c r="X269" i="13"/>
  <c r="X270" i="13" s="1"/>
  <c r="P269" i="13"/>
  <c r="P270" i="13" s="1"/>
  <c r="H269" i="13"/>
  <c r="H270" i="13" s="1"/>
  <c r="V79" i="13"/>
  <c r="V80" i="13" s="1"/>
  <c r="N79" i="13"/>
  <c r="N80" i="13" s="1"/>
  <c r="F79" i="13"/>
  <c r="F80" i="13" s="1"/>
  <c r="W269" i="13"/>
  <c r="W270" i="13" s="1"/>
  <c r="O269" i="13"/>
  <c r="O270" i="13" s="1"/>
  <c r="G269" i="13"/>
  <c r="G270" i="13" s="1"/>
  <c r="U79" i="13"/>
  <c r="U80" i="13" s="1"/>
  <c r="M79" i="13"/>
  <c r="M80" i="13" s="1"/>
  <c r="E79" i="13"/>
  <c r="E80" i="13" s="1"/>
  <c r="V269" i="13"/>
  <c r="V270" i="13" s="1"/>
  <c r="N269" i="13"/>
  <c r="N270" i="13" s="1"/>
  <c r="F269" i="13"/>
  <c r="F270" i="13" s="1"/>
  <c r="T79" i="13"/>
  <c r="T80" i="13" s="1"/>
  <c r="L79" i="13"/>
  <c r="L80" i="13" s="1"/>
  <c r="U269" i="13"/>
  <c r="U270" i="13" s="1"/>
  <c r="M269" i="13"/>
  <c r="M270" i="13" s="1"/>
  <c r="E269" i="13"/>
  <c r="E270" i="13" s="1"/>
  <c r="S79" i="13"/>
  <c r="S80" i="13" s="1"/>
  <c r="K79" i="13"/>
  <c r="K80" i="13" s="1"/>
  <c r="T257" i="13"/>
  <c r="T258" i="13" s="1"/>
  <c r="L257" i="13"/>
  <c r="L258" i="13" s="1"/>
  <c r="V67" i="13"/>
  <c r="V68" i="13" s="1"/>
  <c r="N67" i="13"/>
  <c r="N68" i="13" s="1"/>
  <c r="F67" i="13"/>
  <c r="F68" i="13" s="1"/>
  <c r="S257" i="13"/>
  <c r="S258" i="13" s="1"/>
  <c r="K257" i="13"/>
  <c r="K258" i="13" s="1"/>
  <c r="U67" i="13"/>
  <c r="U68" i="13" s="1"/>
  <c r="M67" i="13"/>
  <c r="M68" i="13" s="1"/>
  <c r="E67" i="13"/>
  <c r="E68" i="13" s="1"/>
  <c r="R257" i="13"/>
  <c r="R258" i="13" s="1"/>
  <c r="J257" i="13"/>
  <c r="J258" i="13" s="1"/>
  <c r="T67" i="13"/>
  <c r="T68" i="13" s="1"/>
  <c r="L67" i="13"/>
  <c r="L68" i="13" s="1"/>
  <c r="Q257" i="13"/>
  <c r="Q258" i="13" s="1"/>
  <c r="I257" i="13"/>
  <c r="I258" i="13" s="1"/>
  <c r="S67" i="13"/>
  <c r="S68" i="13" s="1"/>
  <c r="K67" i="13"/>
  <c r="K68" i="13" s="1"/>
  <c r="X257" i="13"/>
  <c r="X258" i="13" s="1"/>
  <c r="P257" i="13"/>
  <c r="P258" i="13" s="1"/>
  <c r="H257" i="13"/>
  <c r="H258" i="13" s="1"/>
  <c r="R67" i="13"/>
  <c r="R68" i="13" s="1"/>
  <c r="J67" i="13"/>
  <c r="J68" i="13" s="1"/>
  <c r="W257" i="13"/>
  <c r="W258" i="13" s="1"/>
  <c r="O257" i="13"/>
  <c r="O258" i="13" s="1"/>
  <c r="G257" i="13"/>
  <c r="G258" i="13" s="1"/>
  <c r="Q67" i="13"/>
  <c r="Q68" i="13" s="1"/>
  <c r="I67" i="13"/>
  <c r="I68" i="13" s="1"/>
  <c r="V257" i="13"/>
  <c r="V258" i="13" s="1"/>
  <c r="N257" i="13"/>
  <c r="N258" i="13" s="1"/>
  <c r="F257" i="13"/>
  <c r="F258" i="13" s="1"/>
  <c r="X67" i="13"/>
  <c r="X68" i="13" s="1"/>
  <c r="P67" i="13"/>
  <c r="P68" i="13" s="1"/>
  <c r="H67" i="13"/>
  <c r="H68" i="13" s="1"/>
  <c r="U257" i="13"/>
  <c r="U258" i="13" s="1"/>
  <c r="M257" i="13"/>
  <c r="M258" i="13" s="1"/>
  <c r="E257" i="13"/>
  <c r="E258" i="13" s="1"/>
  <c r="W67" i="13"/>
  <c r="W68" i="13" s="1"/>
  <c r="O67" i="13"/>
  <c r="O68" i="13" s="1"/>
  <c r="G67" i="13"/>
  <c r="G68" i="13" s="1"/>
  <c r="U245" i="13"/>
  <c r="U246" i="13" s="1"/>
  <c r="M245" i="13"/>
  <c r="M246" i="13" s="1"/>
  <c r="E245" i="13"/>
  <c r="E246" i="13" s="1"/>
  <c r="V55" i="13"/>
  <c r="V56" i="13" s="1"/>
  <c r="N55" i="13"/>
  <c r="N56" i="13" s="1"/>
  <c r="F55" i="13"/>
  <c r="F56" i="13" s="1"/>
  <c r="T245" i="13"/>
  <c r="T246" i="13" s="1"/>
  <c r="L245" i="13"/>
  <c r="L246" i="13" s="1"/>
  <c r="U55" i="13"/>
  <c r="U56" i="13" s="1"/>
  <c r="M55" i="13"/>
  <c r="M56" i="13" s="1"/>
  <c r="E55" i="13"/>
  <c r="E56" i="13" s="1"/>
  <c r="S245" i="13"/>
  <c r="S246" i="13" s="1"/>
  <c r="K245" i="13"/>
  <c r="K246" i="13" s="1"/>
  <c r="T55" i="13"/>
  <c r="T56" i="13" s="1"/>
  <c r="L55" i="13"/>
  <c r="L56" i="13" s="1"/>
  <c r="R245" i="13"/>
  <c r="R246" i="13" s="1"/>
  <c r="J245" i="13"/>
  <c r="J246" i="13" s="1"/>
  <c r="S55" i="13"/>
  <c r="S56" i="13" s="1"/>
  <c r="K55" i="13"/>
  <c r="K56" i="13" s="1"/>
  <c r="Q245" i="13"/>
  <c r="Q246" i="13" s="1"/>
  <c r="I245" i="13"/>
  <c r="I246" i="13" s="1"/>
  <c r="R55" i="13"/>
  <c r="R56" i="13" s="1"/>
  <c r="J55" i="13"/>
  <c r="J56" i="13" s="1"/>
  <c r="X245" i="13"/>
  <c r="X246" i="13" s="1"/>
  <c r="P245" i="13"/>
  <c r="P246" i="13" s="1"/>
  <c r="H245" i="13"/>
  <c r="H246" i="13" s="1"/>
  <c r="Q55" i="13"/>
  <c r="Q56" i="13" s="1"/>
  <c r="I55" i="13"/>
  <c r="I56" i="13" s="1"/>
  <c r="W245" i="13"/>
  <c r="W246" i="13" s="1"/>
  <c r="O245" i="13"/>
  <c r="O246" i="13" s="1"/>
  <c r="G245" i="13"/>
  <c r="G246" i="13" s="1"/>
  <c r="X55" i="13"/>
  <c r="X56" i="13" s="1"/>
  <c r="P55" i="13"/>
  <c r="P56" i="13" s="1"/>
  <c r="H55" i="13"/>
  <c r="H56" i="13" s="1"/>
  <c r="V245" i="13"/>
  <c r="V246" i="13" s="1"/>
  <c r="N245" i="13"/>
  <c r="N246" i="13" s="1"/>
  <c r="F245" i="13"/>
  <c r="F246" i="13" s="1"/>
  <c r="W55" i="13"/>
  <c r="W56" i="13" s="1"/>
  <c r="O55" i="13"/>
  <c r="O56" i="13" s="1"/>
  <c r="G55" i="13"/>
  <c r="G56" i="13" s="1"/>
  <c r="R224" i="13"/>
  <c r="R225" i="13" s="1"/>
  <c r="J224" i="13"/>
  <c r="J225" i="13" s="1"/>
  <c r="Q224" i="13"/>
  <c r="Q225" i="13" s="1"/>
  <c r="I224" i="13"/>
  <c r="I225" i="13" s="1"/>
  <c r="X224" i="13"/>
  <c r="X225" i="13" s="1"/>
  <c r="P224" i="13"/>
  <c r="P225" i="13" s="1"/>
  <c r="H224" i="13"/>
  <c r="H225" i="13" s="1"/>
  <c r="W224" i="13"/>
  <c r="W225" i="13" s="1"/>
  <c r="O224" i="13"/>
  <c r="O225" i="13" s="1"/>
  <c r="G224" i="13"/>
  <c r="G225" i="13" s="1"/>
  <c r="V224" i="13"/>
  <c r="V225" i="13" s="1"/>
  <c r="N224" i="13"/>
  <c r="N225" i="13" s="1"/>
  <c r="F224" i="13"/>
  <c r="F225" i="13" s="1"/>
  <c r="U224" i="13"/>
  <c r="U225" i="13" s="1"/>
  <c r="M224" i="13"/>
  <c r="M225" i="13" s="1"/>
  <c r="E224" i="13"/>
  <c r="E225" i="13" s="1"/>
  <c r="T224" i="13"/>
  <c r="T225" i="13" s="1"/>
  <c r="L224" i="13"/>
  <c r="L225" i="13" s="1"/>
  <c r="S224" i="13"/>
  <c r="S225" i="13" s="1"/>
  <c r="K224" i="13"/>
  <c r="K225" i="13" s="1"/>
  <c r="X34" i="13"/>
  <c r="X35" i="13" s="1"/>
  <c r="M34" i="13"/>
  <c r="M35" i="13" s="1"/>
  <c r="G34" i="13"/>
  <c r="G35" i="13" s="1"/>
  <c r="F34" i="13"/>
  <c r="F35" i="13" s="1"/>
  <c r="E34" i="13"/>
  <c r="E35" i="13" s="1"/>
  <c r="P34" i="13"/>
  <c r="P35" i="13" s="1"/>
  <c r="J34" i="13"/>
  <c r="J35" i="13" s="1"/>
  <c r="N34" i="13"/>
  <c r="N35" i="13" s="1"/>
  <c r="V34" i="13"/>
  <c r="V35" i="13" s="1"/>
  <c r="R34" i="13"/>
  <c r="R35" i="13" s="1"/>
  <c r="K34" i="13"/>
  <c r="K35" i="13" s="1"/>
  <c r="L34" i="13"/>
  <c r="L35" i="13" s="1"/>
  <c r="O34" i="13"/>
  <c r="O35" i="13" s="1"/>
  <c r="S34" i="13"/>
  <c r="S35" i="13" s="1"/>
  <c r="U34" i="13"/>
  <c r="U35" i="13" s="1"/>
  <c r="W34" i="13"/>
  <c r="W35" i="13" s="1"/>
  <c r="H34" i="13"/>
  <c r="H35" i="13" s="1"/>
  <c r="T34" i="13"/>
  <c r="T35" i="13" s="1"/>
  <c r="I34" i="13"/>
  <c r="I35" i="13" s="1"/>
  <c r="Q34" i="13"/>
  <c r="Q35" i="13" s="1"/>
  <c r="Q242" i="13"/>
  <c r="Q243" i="13" s="1"/>
  <c r="I242" i="13"/>
  <c r="I243" i="13" s="1"/>
  <c r="R52" i="13"/>
  <c r="R53" i="13" s="1"/>
  <c r="J52" i="13"/>
  <c r="J53" i="13" s="1"/>
  <c r="X242" i="13"/>
  <c r="X243" i="13" s="1"/>
  <c r="P242" i="13"/>
  <c r="P243" i="13" s="1"/>
  <c r="H242" i="13"/>
  <c r="H243" i="13" s="1"/>
  <c r="Q52" i="13"/>
  <c r="Q53" i="13" s="1"/>
  <c r="I52" i="13"/>
  <c r="I53" i="13" s="1"/>
  <c r="W242" i="13"/>
  <c r="W243" i="13" s="1"/>
  <c r="O242" i="13"/>
  <c r="O243" i="13" s="1"/>
  <c r="G242" i="13"/>
  <c r="G243" i="13" s="1"/>
  <c r="X52" i="13"/>
  <c r="X53" i="13" s="1"/>
  <c r="P52" i="13"/>
  <c r="P53" i="13" s="1"/>
  <c r="H52" i="13"/>
  <c r="H53" i="13" s="1"/>
  <c r="V242" i="13"/>
  <c r="V243" i="13" s="1"/>
  <c r="N242" i="13"/>
  <c r="N243" i="13" s="1"/>
  <c r="F242" i="13"/>
  <c r="F243" i="13" s="1"/>
  <c r="W52" i="13"/>
  <c r="W53" i="13" s="1"/>
  <c r="O52" i="13"/>
  <c r="O53" i="13" s="1"/>
  <c r="G52" i="13"/>
  <c r="G53" i="13" s="1"/>
  <c r="U242" i="13"/>
  <c r="U243" i="13" s="1"/>
  <c r="M242" i="13"/>
  <c r="M243" i="13" s="1"/>
  <c r="E242" i="13"/>
  <c r="E243" i="13" s="1"/>
  <c r="V52" i="13"/>
  <c r="V53" i="13" s="1"/>
  <c r="N52" i="13"/>
  <c r="N53" i="13" s="1"/>
  <c r="F52" i="13"/>
  <c r="F53" i="13" s="1"/>
  <c r="T242" i="13"/>
  <c r="T243" i="13" s="1"/>
  <c r="L242" i="13"/>
  <c r="L243" i="13" s="1"/>
  <c r="U52" i="13"/>
  <c r="U53" i="13" s="1"/>
  <c r="M52" i="13"/>
  <c r="M53" i="13" s="1"/>
  <c r="E52" i="13"/>
  <c r="E53" i="13" s="1"/>
  <c r="S242" i="13"/>
  <c r="S243" i="13" s="1"/>
  <c r="K242" i="13"/>
  <c r="K243" i="13" s="1"/>
  <c r="T52" i="13"/>
  <c r="T53" i="13" s="1"/>
  <c r="L52" i="13"/>
  <c r="L53" i="13" s="1"/>
  <c r="R242" i="13"/>
  <c r="R243" i="13" s="1"/>
  <c r="J242" i="13"/>
  <c r="J243" i="13" s="1"/>
  <c r="S52" i="13"/>
  <c r="S53" i="13" s="1"/>
  <c r="K52" i="13"/>
  <c r="K53" i="13" s="1"/>
  <c r="W278" i="13"/>
  <c r="W279" i="13" s="1"/>
  <c r="O278" i="13"/>
  <c r="O279" i="13" s="1"/>
  <c r="G278" i="13"/>
  <c r="G279" i="13" s="1"/>
  <c r="V88" i="13"/>
  <c r="V89" i="13" s="1"/>
  <c r="N88" i="13"/>
  <c r="N89" i="13" s="1"/>
  <c r="F88" i="13"/>
  <c r="F89" i="13" s="1"/>
  <c r="V278" i="13"/>
  <c r="V279" i="13" s="1"/>
  <c r="N278" i="13"/>
  <c r="N279" i="13" s="1"/>
  <c r="F278" i="13"/>
  <c r="F279" i="13" s="1"/>
  <c r="U88" i="13"/>
  <c r="U89" i="13" s="1"/>
  <c r="M88" i="13"/>
  <c r="M89" i="13" s="1"/>
  <c r="E88" i="13"/>
  <c r="E89" i="13" s="1"/>
  <c r="U278" i="13"/>
  <c r="U279" i="13" s="1"/>
  <c r="M278" i="13"/>
  <c r="M279" i="13" s="1"/>
  <c r="E278" i="13"/>
  <c r="E279" i="13" s="1"/>
  <c r="T88" i="13"/>
  <c r="T89" i="13" s="1"/>
  <c r="L88" i="13"/>
  <c r="L89" i="13" s="1"/>
  <c r="T278" i="13"/>
  <c r="T279" i="13" s="1"/>
  <c r="L278" i="13"/>
  <c r="L279" i="13" s="1"/>
  <c r="S88" i="13"/>
  <c r="S89" i="13" s="1"/>
  <c r="K88" i="13"/>
  <c r="K89" i="13" s="1"/>
  <c r="S278" i="13"/>
  <c r="S279" i="13" s="1"/>
  <c r="K278" i="13"/>
  <c r="K279" i="13" s="1"/>
  <c r="R88" i="13"/>
  <c r="R89" i="13" s="1"/>
  <c r="J88" i="13"/>
  <c r="J89" i="13" s="1"/>
  <c r="R278" i="13"/>
  <c r="R279" i="13" s="1"/>
  <c r="J278" i="13"/>
  <c r="J279" i="13" s="1"/>
  <c r="Q88" i="13"/>
  <c r="Q89" i="13" s="1"/>
  <c r="I88" i="13"/>
  <c r="I89" i="13" s="1"/>
  <c r="Q278" i="13"/>
  <c r="Q279" i="13" s="1"/>
  <c r="I278" i="13"/>
  <c r="I279" i="13" s="1"/>
  <c r="X88" i="13"/>
  <c r="X89" i="13" s="1"/>
  <c r="P88" i="13"/>
  <c r="P89" i="13" s="1"/>
  <c r="H88" i="13"/>
  <c r="H89" i="13" s="1"/>
  <c r="X278" i="13"/>
  <c r="X279" i="13" s="1"/>
  <c r="P278" i="13"/>
  <c r="P279" i="13" s="1"/>
  <c r="H278" i="13"/>
  <c r="H279" i="13" s="1"/>
  <c r="W88" i="13"/>
  <c r="W89" i="13" s="1"/>
  <c r="O88" i="13"/>
  <c r="O89" i="13" s="1"/>
  <c r="G88" i="13"/>
  <c r="G89" i="13" s="1"/>
  <c r="T251" i="13"/>
  <c r="T252" i="13" s="1"/>
  <c r="L251" i="13"/>
  <c r="L252" i="13" s="1"/>
  <c r="V61" i="13"/>
  <c r="V62" i="13" s="1"/>
  <c r="N61" i="13"/>
  <c r="N62" i="13" s="1"/>
  <c r="F61" i="13"/>
  <c r="F62" i="13" s="1"/>
  <c r="S251" i="13"/>
  <c r="S252" i="13" s="1"/>
  <c r="K251" i="13"/>
  <c r="K252" i="13" s="1"/>
  <c r="U61" i="13"/>
  <c r="U62" i="13" s="1"/>
  <c r="M61" i="13"/>
  <c r="M62" i="13" s="1"/>
  <c r="E61" i="13"/>
  <c r="E62" i="13" s="1"/>
  <c r="R251" i="13"/>
  <c r="R252" i="13" s="1"/>
  <c r="J251" i="13"/>
  <c r="J252" i="13" s="1"/>
  <c r="T61" i="13"/>
  <c r="T62" i="13" s="1"/>
  <c r="L61" i="13"/>
  <c r="L62" i="13" s="1"/>
  <c r="Q251" i="13"/>
  <c r="Q252" i="13" s="1"/>
  <c r="I251" i="13"/>
  <c r="I252" i="13" s="1"/>
  <c r="S61" i="13"/>
  <c r="S62" i="13" s="1"/>
  <c r="K61" i="13"/>
  <c r="K62" i="13" s="1"/>
  <c r="X251" i="13"/>
  <c r="X252" i="13" s="1"/>
  <c r="P251" i="13"/>
  <c r="P252" i="13" s="1"/>
  <c r="H251" i="13"/>
  <c r="H252" i="13" s="1"/>
  <c r="R61" i="13"/>
  <c r="R62" i="13" s="1"/>
  <c r="J61" i="13"/>
  <c r="J62" i="13" s="1"/>
  <c r="W251" i="13"/>
  <c r="W252" i="13" s="1"/>
  <c r="O251" i="13"/>
  <c r="O252" i="13" s="1"/>
  <c r="G251" i="13"/>
  <c r="G252" i="13" s="1"/>
  <c r="Q61" i="13"/>
  <c r="Q62" i="13" s="1"/>
  <c r="I61" i="13"/>
  <c r="I62" i="13" s="1"/>
  <c r="V251" i="13"/>
  <c r="V252" i="13" s="1"/>
  <c r="N251" i="13"/>
  <c r="N252" i="13" s="1"/>
  <c r="F251" i="13"/>
  <c r="F252" i="13" s="1"/>
  <c r="X61" i="13"/>
  <c r="X62" i="13" s="1"/>
  <c r="P61" i="13"/>
  <c r="P62" i="13" s="1"/>
  <c r="H61" i="13"/>
  <c r="H62" i="13" s="1"/>
  <c r="U251" i="13"/>
  <c r="U252" i="13" s="1"/>
  <c r="M251" i="13"/>
  <c r="M252" i="13" s="1"/>
  <c r="E251" i="13"/>
  <c r="E252" i="13" s="1"/>
  <c r="W61" i="13"/>
  <c r="W62" i="13" s="1"/>
  <c r="O61" i="13"/>
  <c r="O62" i="13" s="1"/>
  <c r="G61" i="13"/>
  <c r="G62" i="13" s="1"/>
  <c r="X260" i="13"/>
  <c r="X261" i="13" s="1"/>
  <c r="P260" i="13"/>
  <c r="P261" i="13" s="1"/>
  <c r="H260" i="13"/>
  <c r="H261" i="13" s="1"/>
  <c r="R70" i="13"/>
  <c r="R71" i="13" s="1"/>
  <c r="J70" i="13"/>
  <c r="J71" i="13" s="1"/>
  <c r="W260" i="13"/>
  <c r="W261" i="13" s="1"/>
  <c r="O260" i="13"/>
  <c r="O261" i="13" s="1"/>
  <c r="G260" i="13"/>
  <c r="G261" i="13" s="1"/>
  <c r="Q70" i="13"/>
  <c r="Q71" i="13" s="1"/>
  <c r="I70" i="13"/>
  <c r="I71" i="13" s="1"/>
  <c r="V260" i="13"/>
  <c r="V261" i="13" s="1"/>
  <c r="N260" i="13"/>
  <c r="N261" i="13" s="1"/>
  <c r="F260" i="13"/>
  <c r="F261" i="13" s="1"/>
  <c r="X70" i="13"/>
  <c r="X71" i="13" s="1"/>
  <c r="P70" i="13"/>
  <c r="P71" i="13" s="1"/>
  <c r="H70" i="13"/>
  <c r="H71" i="13" s="1"/>
  <c r="U260" i="13"/>
  <c r="U261" i="13" s="1"/>
  <c r="M260" i="13"/>
  <c r="M261" i="13" s="1"/>
  <c r="E260" i="13"/>
  <c r="E261" i="13" s="1"/>
  <c r="W70" i="13"/>
  <c r="W71" i="13" s="1"/>
  <c r="O70" i="13"/>
  <c r="O71" i="13" s="1"/>
  <c r="G70" i="13"/>
  <c r="G71" i="13" s="1"/>
  <c r="T260" i="13"/>
  <c r="T261" i="13" s="1"/>
  <c r="L260" i="13"/>
  <c r="L261" i="13" s="1"/>
  <c r="V70" i="13"/>
  <c r="V71" i="13" s="1"/>
  <c r="N70" i="13"/>
  <c r="N71" i="13" s="1"/>
  <c r="F70" i="13"/>
  <c r="F71" i="13" s="1"/>
  <c r="S260" i="13"/>
  <c r="S261" i="13" s="1"/>
  <c r="K260" i="13"/>
  <c r="K261" i="13" s="1"/>
  <c r="U70" i="13"/>
  <c r="U71" i="13" s="1"/>
  <c r="M70" i="13"/>
  <c r="M71" i="13" s="1"/>
  <c r="E70" i="13"/>
  <c r="E71" i="13" s="1"/>
  <c r="R260" i="13"/>
  <c r="R261" i="13" s="1"/>
  <c r="J260" i="13"/>
  <c r="J261" i="13" s="1"/>
  <c r="T70" i="13"/>
  <c r="T71" i="13" s="1"/>
  <c r="L70" i="13"/>
  <c r="L71" i="13" s="1"/>
  <c r="Q260" i="13"/>
  <c r="Q261" i="13" s="1"/>
  <c r="I260" i="13"/>
  <c r="I261" i="13" s="1"/>
  <c r="S70" i="13"/>
  <c r="S71" i="13" s="1"/>
  <c r="K70" i="13"/>
  <c r="K71" i="13" s="1"/>
  <c r="Q230" i="13"/>
  <c r="Q231" i="13" s="1"/>
  <c r="I230" i="13"/>
  <c r="I231" i="13" s="1"/>
  <c r="X230" i="13"/>
  <c r="X231" i="13" s="1"/>
  <c r="P230" i="13"/>
  <c r="P231" i="13" s="1"/>
  <c r="H230" i="13"/>
  <c r="H231" i="13" s="1"/>
  <c r="Q40" i="13"/>
  <c r="Q41" i="13" s="1"/>
  <c r="W230" i="13"/>
  <c r="W231" i="13" s="1"/>
  <c r="O230" i="13"/>
  <c r="O231" i="13" s="1"/>
  <c r="G230" i="13"/>
  <c r="G231" i="13" s="1"/>
  <c r="X40" i="13"/>
  <c r="X41" i="13" s="1"/>
  <c r="V230" i="13"/>
  <c r="V231" i="13" s="1"/>
  <c r="N230" i="13"/>
  <c r="N231" i="13" s="1"/>
  <c r="F230" i="13"/>
  <c r="F231" i="13" s="1"/>
  <c r="W40" i="13"/>
  <c r="W41" i="13" s="1"/>
  <c r="O40" i="13"/>
  <c r="O41" i="13" s="1"/>
  <c r="U230" i="13"/>
  <c r="U231" i="13" s="1"/>
  <c r="M230" i="13"/>
  <c r="M231" i="13" s="1"/>
  <c r="E230" i="13"/>
  <c r="E231" i="13" s="1"/>
  <c r="V40" i="13"/>
  <c r="V41" i="13" s="1"/>
  <c r="N40" i="13"/>
  <c r="N41" i="13" s="1"/>
  <c r="T230" i="13"/>
  <c r="T231" i="13" s="1"/>
  <c r="L230" i="13"/>
  <c r="L231" i="13" s="1"/>
  <c r="U40" i="13"/>
  <c r="U41" i="13" s="1"/>
  <c r="S230" i="13"/>
  <c r="S231" i="13" s="1"/>
  <c r="K230" i="13"/>
  <c r="K231" i="13" s="1"/>
  <c r="T40" i="13"/>
  <c r="T41" i="13" s="1"/>
  <c r="R230" i="13"/>
  <c r="R231" i="13" s="1"/>
  <c r="J230" i="13"/>
  <c r="J231" i="13" s="1"/>
  <c r="S40" i="13"/>
  <c r="S41" i="13" s="1"/>
  <c r="L40" i="13"/>
  <c r="L41" i="13" s="1"/>
  <c r="K40" i="13"/>
  <c r="K41" i="13" s="1"/>
  <c r="J40" i="13"/>
  <c r="J41" i="13" s="1"/>
  <c r="I40" i="13"/>
  <c r="I41" i="13" s="1"/>
  <c r="G40" i="13"/>
  <c r="G41" i="13" s="1"/>
  <c r="H40" i="13"/>
  <c r="H41" i="13" s="1"/>
  <c r="R40" i="13"/>
  <c r="R41" i="13" s="1"/>
  <c r="P40" i="13"/>
  <c r="P41" i="13" s="1"/>
  <c r="F40" i="13"/>
  <c r="F41" i="13" s="1"/>
  <c r="M40" i="13"/>
  <c r="M41" i="13" s="1"/>
  <c r="E40" i="13"/>
  <c r="E41" i="13" s="1"/>
  <c r="U227" i="13"/>
  <c r="U228" i="13" s="1"/>
  <c r="M227" i="13"/>
  <c r="M228" i="13" s="1"/>
  <c r="E227" i="13"/>
  <c r="E228" i="13" s="1"/>
  <c r="T227" i="13"/>
  <c r="T228" i="13" s="1"/>
  <c r="L227" i="13"/>
  <c r="L228" i="13" s="1"/>
  <c r="S227" i="13"/>
  <c r="S228" i="13" s="1"/>
  <c r="K227" i="13"/>
  <c r="K228" i="13" s="1"/>
  <c r="R227" i="13"/>
  <c r="R228" i="13" s="1"/>
  <c r="J227" i="13"/>
  <c r="J228" i="13" s="1"/>
  <c r="Q227" i="13"/>
  <c r="Q228" i="13" s="1"/>
  <c r="I227" i="13"/>
  <c r="I228" i="13" s="1"/>
  <c r="X227" i="13"/>
  <c r="X228" i="13" s="1"/>
  <c r="P227" i="13"/>
  <c r="P228" i="13" s="1"/>
  <c r="H227" i="13"/>
  <c r="H228" i="13" s="1"/>
  <c r="W227" i="13"/>
  <c r="W228" i="13" s="1"/>
  <c r="O227" i="13"/>
  <c r="O228" i="13" s="1"/>
  <c r="G227" i="13"/>
  <c r="G228" i="13" s="1"/>
  <c r="V227" i="13"/>
  <c r="V228" i="13" s="1"/>
  <c r="N227" i="13"/>
  <c r="N228" i="13" s="1"/>
  <c r="F227" i="13"/>
  <c r="F228" i="13" s="1"/>
  <c r="X37" i="13"/>
  <c r="X38" i="13" s="1"/>
  <c r="P37" i="13"/>
  <c r="P38" i="13" s="1"/>
  <c r="H37" i="13"/>
  <c r="H38" i="13" s="1"/>
  <c r="W37" i="13"/>
  <c r="W38" i="13" s="1"/>
  <c r="G37" i="13"/>
  <c r="G38" i="13" s="1"/>
  <c r="V37" i="13"/>
  <c r="V38" i="13" s="1"/>
  <c r="N37" i="13"/>
  <c r="N38" i="13" s="1"/>
  <c r="F37" i="13"/>
  <c r="F38" i="13" s="1"/>
  <c r="S37" i="13"/>
  <c r="S38" i="13" s="1"/>
  <c r="K37" i="13"/>
  <c r="K38" i="13" s="1"/>
  <c r="U37" i="13"/>
  <c r="U38" i="13" s="1"/>
  <c r="M37" i="13"/>
  <c r="M38" i="13" s="1"/>
  <c r="E37" i="13"/>
  <c r="E38" i="13" s="1"/>
  <c r="T37" i="13"/>
  <c r="T38" i="13" s="1"/>
  <c r="L37" i="13"/>
  <c r="L38" i="13" s="1"/>
  <c r="R37" i="13"/>
  <c r="R38" i="13" s="1"/>
  <c r="J37" i="13"/>
  <c r="J38" i="13" s="1"/>
  <c r="Q37" i="13"/>
  <c r="Q38" i="13" s="1"/>
  <c r="I37" i="13"/>
  <c r="I38" i="13" s="1"/>
  <c r="O37" i="13"/>
  <c r="O38" i="13" s="1"/>
  <c r="X254" i="13"/>
  <c r="X255" i="13" s="1"/>
  <c r="P254" i="13"/>
  <c r="P255" i="13" s="1"/>
  <c r="H254" i="13"/>
  <c r="H255" i="13" s="1"/>
  <c r="R64" i="13"/>
  <c r="R65" i="13" s="1"/>
  <c r="J64" i="13"/>
  <c r="J65" i="13" s="1"/>
  <c r="W254" i="13"/>
  <c r="W255" i="13" s="1"/>
  <c r="O254" i="13"/>
  <c r="O255" i="13" s="1"/>
  <c r="G254" i="13"/>
  <c r="G255" i="13" s="1"/>
  <c r="Q64" i="13"/>
  <c r="Q65" i="13" s="1"/>
  <c r="I64" i="13"/>
  <c r="I65" i="13" s="1"/>
  <c r="V254" i="13"/>
  <c r="V255" i="13" s="1"/>
  <c r="N254" i="13"/>
  <c r="N255" i="13" s="1"/>
  <c r="F254" i="13"/>
  <c r="F255" i="13" s="1"/>
  <c r="X64" i="13"/>
  <c r="X65" i="13" s="1"/>
  <c r="P64" i="13"/>
  <c r="P65" i="13" s="1"/>
  <c r="H64" i="13"/>
  <c r="H65" i="13" s="1"/>
  <c r="U254" i="13"/>
  <c r="U255" i="13" s="1"/>
  <c r="M254" i="13"/>
  <c r="M255" i="13" s="1"/>
  <c r="E254" i="13"/>
  <c r="E255" i="13" s="1"/>
  <c r="W64" i="13"/>
  <c r="W65" i="13" s="1"/>
  <c r="O64" i="13"/>
  <c r="O65" i="13" s="1"/>
  <c r="G64" i="13"/>
  <c r="G65" i="13" s="1"/>
  <c r="T254" i="13"/>
  <c r="T255" i="13" s="1"/>
  <c r="L254" i="13"/>
  <c r="L255" i="13" s="1"/>
  <c r="V64" i="13"/>
  <c r="V65" i="13" s="1"/>
  <c r="N64" i="13"/>
  <c r="N65" i="13" s="1"/>
  <c r="F64" i="13"/>
  <c r="F65" i="13" s="1"/>
  <c r="S254" i="13"/>
  <c r="S255" i="13" s="1"/>
  <c r="K254" i="13"/>
  <c r="K255" i="13" s="1"/>
  <c r="U64" i="13"/>
  <c r="U65" i="13" s="1"/>
  <c r="M64" i="13"/>
  <c r="M65" i="13" s="1"/>
  <c r="E64" i="13"/>
  <c r="E65" i="13" s="1"/>
  <c r="R254" i="13"/>
  <c r="R255" i="13" s="1"/>
  <c r="J254" i="13"/>
  <c r="J255" i="13" s="1"/>
  <c r="T64" i="13"/>
  <c r="T65" i="13" s="1"/>
  <c r="L64" i="13"/>
  <c r="L65" i="13" s="1"/>
  <c r="Q254" i="13"/>
  <c r="Q255" i="13" s="1"/>
  <c r="I254" i="13"/>
  <c r="I255" i="13" s="1"/>
  <c r="S64" i="13"/>
  <c r="S65" i="13" s="1"/>
  <c r="K64" i="13"/>
  <c r="K65" i="13" s="1"/>
  <c r="Q236" i="13"/>
  <c r="Q237" i="13" s="1"/>
  <c r="I236" i="13"/>
  <c r="I237" i="13" s="1"/>
  <c r="R46" i="13"/>
  <c r="R47" i="13" s="1"/>
  <c r="J46" i="13"/>
  <c r="J47" i="13" s="1"/>
  <c r="X236" i="13"/>
  <c r="X237" i="13" s="1"/>
  <c r="P236" i="13"/>
  <c r="P237" i="13" s="1"/>
  <c r="H236" i="13"/>
  <c r="H237" i="13" s="1"/>
  <c r="Q46" i="13"/>
  <c r="Q47" i="13" s="1"/>
  <c r="I46" i="13"/>
  <c r="I47" i="13" s="1"/>
  <c r="W236" i="13"/>
  <c r="W237" i="13" s="1"/>
  <c r="O236" i="13"/>
  <c r="O237" i="13" s="1"/>
  <c r="G236" i="13"/>
  <c r="G237" i="13" s="1"/>
  <c r="X46" i="13"/>
  <c r="X47" i="13" s="1"/>
  <c r="P46" i="13"/>
  <c r="P47" i="13" s="1"/>
  <c r="H46" i="13"/>
  <c r="H47" i="13" s="1"/>
  <c r="V236" i="13"/>
  <c r="V237" i="13" s="1"/>
  <c r="N236" i="13"/>
  <c r="N237" i="13" s="1"/>
  <c r="F236" i="13"/>
  <c r="F237" i="13" s="1"/>
  <c r="W46" i="13"/>
  <c r="W47" i="13" s="1"/>
  <c r="O46" i="13"/>
  <c r="O47" i="13" s="1"/>
  <c r="G46" i="13"/>
  <c r="G47" i="13" s="1"/>
  <c r="U236" i="13"/>
  <c r="U237" i="13" s="1"/>
  <c r="M236" i="13"/>
  <c r="M237" i="13" s="1"/>
  <c r="E236" i="13"/>
  <c r="E237" i="13" s="1"/>
  <c r="V46" i="13"/>
  <c r="V47" i="13" s="1"/>
  <c r="N46" i="13"/>
  <c r="N47" i="13" s="1"/>
  <c r="F46" i="13"/>
  <c r="F47" i="13" s="1"/>
  <c r="T236" i="13"/>
  <c r="T237" i="13" s="1"/>
  <c r="L236" i="13"/>
  <c r="L237" i="13" s="1"/>
  <c r="U46" i="13"/>
  <c r="U47" i="13" s="1"/>
  <c r="M46" i="13"/>
  <c r="M47" i="13" s="1"/>
  <c r="E46" i="13"/>
  <c r="E47" i="13" s="1"/>
  <c r="S236" i="13"/>
  <c r="S237" i="13" s="1"/>
  <c r="K236" i="13"/>
  <c r="K237" i="13" s="1"/>
  <c r="T46" i="13"/>
  <c r="T47" i="13" s="1"/>
  <c r="L46" i="13"/>
  <c r="L47" i="13" s="1"/>
  <c r="R236" i="13"/>
  <c r="R237" i="13" s="1"/>
  <c r="J236" i="13"/>
  <c r="J237" i="13" s="1"/>
  <c r="S46" i="13"/>
  <c r="S47" i="13" s="1"/>
  <c r="K46" i="13"/>
  <c r="K47" i="13" s="1"/>
  <c r="X272" i="13"/>
  <c r="X273" i="13" s="1"/>
  <c r="P272" i="13"/>
  <c r="P273" i="13" s="1"/>
  <c r="H272" i="13"/>
  <c r="H273" i="13" s="1"/>
  <c r="V82" i="13"/>
  <c r="V83" i="13" s="1"/>
  <c r="N82" i="13"/>
  <c r="N83" i="13" s="1"/>
  <c r="F82" i="13"/>
  <c r="F83" i="13" s="1"/>
  <c r="W272" i="13"/>
  <c r="W273" i="13" s="1"/>
  <c r="O272" i="13"/>
  <c r="O273" i="13" s="1"/>
  <c r="G272" i="13"/>
  <c r="G273" i="13" s="1"/>
  <c r="U82" i="13"/>
  <c r="U83" i="13" s="1"/>
  <c r="M82" i="13"/>
  <c r="M83" i="13" s="1"/>
  <c r="E82" i="13"/>
  <c r="E83" i="13" s="1"/>
  <c r="V272" i="13"/>
  <c r="V273" i="13" s="1"/>
  <c r="N272" i="13"/>
  <c r="N273" i="13" s="1"/>
  <c r="F272" i="13"/>
  <c r="F273" i="13" s="1"/>
  <c r="T82" i="13"/>
  <c r="T83" i="13" s="1"/>
  <c r="L82" i="13"/>
  <c r="L83" i="13" s="1"/>
  <c r="U272" i="13"/>
  <c r="U273" i="13" s="1"/>
  <c r="M272" i="13"/>
  <c r="M273" i="13" s="1"/>
  <c r="E272" i="13"/>
  <c r="E273" i="13" s="1"/>
  <c r="S82" i="13"/>
  <c r="S83" i="13" s="1"/>
  <c r="K82" i="13"/>
  <c r="K83" i="13" s="1"/>
  <c r="T272" i="13"/>
  <c r="T273" i="13" s="1"/>
  <c r="L272" i="13"/>
  <c r="L273" i="13" s="1"/>
  <c r="R82" i="13"/>
  <c r="R83" i="13" s="1"/>
  <c r="J82" i="13"/>
  <c r="J83" i="13" s="1"/>
  <c r="S272" i="13"/>
  <c r="S273" i="13" s="1"/>
  <c r="K272" i="13"/>
  <c r="K273" i="13" s="1"/>
  <c r="Q82" i="13"/>
  <c r="Q83" i="13" s="1"/>
  <c r="I82" i="13"/>
  <c r="I83" i="13" s="1"/>
  <c r="R272" i="13"/>
  <c r="R273" i="13" s="1"/>
  <c r="J272" i="13"/>
  <c r="J273" i="13" s="1"/>
  <c r="X82" i="13"/>
  <c r="X83" i="13" s="1"/>
  <c r="P82" i="13"/>
  <c r="P83" i="13" s="1"/>
  <c r="H82" i="13"/>
  <c r="H83" i="13" s="1"/>
  <c r="Q272" i="13"/>
  <c r="Q273" i="13" s="1"/>
  <c r="I272" i="13"/>
  <c r="I273" i="13" s="1"/>
  <c r="W82" i="13"/>
  <c r="W83" i="13" s="1"/>
  <c r="O82" i="13"/>
  <c r="O83" i="13" s="1"/>
  <c r="G82" i="13"/>
  <c r="G83" i="13" s="1"/>
  <c r="F31" i="13"/>
  <c r="F32" i="13" s="1"/>
  <c r="G31" i="13"/>
  <c r="G32" i="13" s="1"/>
  <c r="E31" i="13"/>
  <c r="E32" i="13" s="1"/>
  <c r="H31" i="13"/>
  <c r="H32" i="13" s="1"/>
  <c r="J31" i="13"/>
  <c r="J32" i="13" s="1"/>
  <c r="I31" i="13"/>
  <c r="I32" i="13" s="1"/>
  <c r="K31" i="13"/>
  <c r="K32" i="13" s="1"/>
  <c r="L31" i="13"/>
  <c r="L32" i="13" s="1"/>
  <c r="M31" i="13"/>
  <c r="M32" i="13" s="1"/>
  <c r="N31" i="13"/>
  <c r="N32" i="13" s="1"/>
  <c r="O31" i="13"/>
  <c r="O32" i="13" s="1"/>
  <c r="P31" i="13"/>
  <c r="P32" i="13" s="1"/>
  <c r="Q31" i="13"/>
  <c r="Q32" i="13" s="1"/>
  <c r="R31" i="13"/>
  <c r="R32" i="13" s="1"/>
  <c r="S31" i="13"/>
  <c r="S32" i="13" s="1"/>
  <c r="T31" i="13"/>
  <c r="T32" i="13" s="1"/>
  <c r="U31" i="13"/>
  <c r="U32" i="13" s="1"/>
  <c r="V31" i="13"/>
  <c r="V32" i="13" s="1"/>
  <c r="W31" i="13"/>
  <c r="W32" i="13" s="1"/>
  <c r="X31" i="13"/>
  <c r="X32" i="13" s="1"/>
  <c r="U239" i="13"/>
  <c r="U240" i="13" s="1"/>
  <c r="M239" i="13"/>
  <c r="M240" i="13" s="1"/>
  <c r="E239" i="13"/>
  <c r="E240" i="13" s="1"/>
  <c r="V49" i="13"/>
  <c r="V50" i="13" s="1"/>
  <c r="N49" i="13"/>
  <c r="N50" i="13" s="1"/>
  <c r="F49" i="13"/>
  <c r="F50" i="13" s="1"/>
  <c r="T239" i="13"/>
  <c r="T240" i="13" s="1"/>
  <c r="L239" i="13"/>
  <c r="L240" i="13" s="1"/>
  <c r="U49" i="13"/>
  <c r="U50" i="13" s="1"/>
  <c r="M49" i="13"/>
  <c r="M50" i="13" s="1"/>
  <c r="E49" i="13"/>
  <c r="E50" i="13" s="1"/>
  <c r="S239" i="13"/>
  <c r="S240" i="13" s="1"/>
  <c r="K239" i="13"/>
  <c r="K240" i="13" s="1"/>
  <c r="T49" i="13"/>
  <c r="T50" i="13" s="1"/>
  <c r="L49" i="13"/>
  <c r="L50" i="13" s="1"/>
  <c r="R239" i="13"/>
  <c r="R240" i="13" s="1"/>
  <c r="J239" i="13"/>
  <c r="J240" i="13" s="1"/>
  <c r="S49" i="13"/>
  <c r="S50" i="13" s="1"/>
  <c r="K49" i="13"/>
  <c r="K50" i="13" s="1"/>
  <c r="Q239" i="13"/>
  <c r="Q240" i="13" s="1"/>
  <c r="I239" i="13"/>
  <c r="I240" i="13" s="1"/>
  <c r="R49" i="13"/>
  <c r="R50" i="13" s="1"/>
  <c r="J49" i="13"/>
  <c r="J50" i="13" s="1"/>
  <c r="X239" i="13"/>
  <c r="X240" i="13" s="1"/>
  <c r="P239" i="13"/>
  <c r="P240" i="13" s="1"/>
  <c r="H239" i="13"/>
  <c r="H240" i="13" s="1"/>
  <c r="Q49" i="13"/>
  <c r="Q50" i="13" s="1"/>
  <c r="I49" i="13"/>
  <c r="I50" i="13" s="1"/>
  <c r="W239" i="13"/>
  <c r="W240" i="13" s="1"/>
  <c r="O239" i="13"/>
  <c r="O240" i="13" s="1"/>
  <c r="G239" i="13"/>
  <c r="G240" i="13" s="1"/>
  <c r="X49" i="13"/>
  <c r="X50" i="13" s="1"/>
  <c r="P49" i="13"/>
  <c r="P50" i="13" s="1"/>
  <c r="H49" i="13"/>
  <c r="H50" i="13" s="1"/>
  <c r="V239" i="13"/>
  <c r="V240" i="13" s="1"/>
  <c r="N239" i="13"/>
  <c r="N240" i="13" s="1"/>
  <c r="F239" i="13"/>
  <c r="F240" i="13" s="1"/>
  <c r="W49" i="13"/>
  <c r="W50" i="13" s="1"/>
  <c r="O49" i="13"/>
  <c r="O50" i="13" s="1"/>
  <c r="G49" i="13"/>
  <c r="G50" i="13" s="1"/>
  <c r="X266" i="13"/>
  <c r="X267" i="13" s="1"/>
  <c r="P266" i="13"/>
  <c r="P267" i="13" s="1"/>
  <c r="H266" i="13"/>
  <c r="H267" i="13" s="1"/>
  <c r="V76" i="13"/>
  <c r="V77" i="13" s="1"/>
  <c r="N76" i="13"/>
  <c r="N77" i="13" s="1"/>
  <c r="F76" i="13"/>
  <c r="F77" i="13" s="1"/>
  <c r="W266" i="13"/>
  <c r="W267" i="13" s="1"/>
  <c r="O266" i="13"/>
  <c r="O267" i="13" s="1"/>
  <c r="G266" i="13"/>
  <c r="G267" i="13" s="1"/>
  <c r="U76" i="13"/>
  <c r="U77" i="13" s="1"/>
  <c r="M76" i="13"/>
  <c r="M77" i="13" s="1"/>
  <c r="E76" i="13"/>
  <c r="E77" i="13" s="1"/>
  <c r="V266" i="13"/>
  <c r="V267" i="13" s="1"/>
  <c r="N266" i="13"/>
  <c r="N267" i="13" s="1"/>
  <c r="F266" i="13"/>
  <c r="F267" i="13" s="1"/>
  <c r="T76" i="13"/>
  <c r="T77" i="13" s="1"/>
  <c r="L76" i="13"/>
  <c r="L77" i="13" s="1"/>
  <c r="U266" i="13"/>
  <c r="U267" i="13" s="1"/>
  <c r="M266" i="13"/>
  <c r="M267" i="13" s="1"/>
  <c r="E266" i="13"/>
  <c r="E267" i="13" s="1"/>
  <c r="S76" i="13"/>
  <c r="S77" i="13" s="1"/>
  <c r="K76" i="13"/>
  <c r="K77" i="13" s="1"/>
  <c r="T266" i="13"/>
  <c r="T267" i="13" s="1"/>
  <c r="L266" i="13"/>
  <c r="L267" i="13" s="1"/>
  <c r="R76" i="13"/>
  <c r="R77" i="13" s="1"/>
  <c r="J76" i="13"/>
  <c r="J77" i="13" s="1"/>
  <c r="S266" i="13"/>
  <c r="S267" i="13" s="1"/>
  <c r="K266" i="13"/>
  <c r="K267" i="13" s="1"/>
  <c r="Q76" i="13"/>
  <c r="Q77" i="13" s="1"/>
  <c r="I76" i="13"/>
  <c r="I77" i="13" s="1"/>
  <c r="R266" i="13"/>
  <c r="R267" i="13" s="1"/>
  <c r="J266" i="13"/>
  <c r="J267" i="13" s="1"/>
  <c r="X76" i="13"/>
  <c r="X77" i="13" s="1"/>
  <c r="P76" i="13"/>
  <c r="P77" i="13" s="1"/>
  <c r="H76" i="13"/>
  <c r="H77" i="13" s="1"/>
  <c r="Q266" i="13"/>
  <c r="Q267" i="13" s="1"/>
  <c r="I266" i="13"/>
  <c r="I267" i="13" s="1"/>
  <c r="W76" i="13"/>
  <c r="W77" i="13" s="1"/>
  <c r="O76" i="13"/>
  <c r="O77" i="13" s="1"/>
  <c r="G76" i="13"/>
  <c r="G77" i="13" s="1"/>
  <c r="L468" i="5"/>
  <c r="Q73" i="13"/>
  <c r="Q74" i="13" s="1"/>
  <c r="I73" i="13"/>
  <c r="I74" i="13" s="1"/>
  <c r="X73" i="13"/>
  <c r="X74" i="13" s="1"/>
  <c r="P73" i="13"/>
  <c r="P74" i="13" s="1"/>
  <c r="H73" i="13"/>
  <c r="H74" i="13" s="1"/>
  <c r="K73" i="13"/>
  <c r="K74" i="13" s="1"/>
  <c r="W73" i="13"/>
  <c r="W74" i="13" s="1"/>
  <c r="O73" i="13"/>
  <c r="O74" i="13" s="1"/>
  <c r="G73" i="13"/>
  <c r="G74" i="13" s="1"/>
  <c r="V73" i="13"/>
  <c r="V74" i="13" s="1"/>
  <c r="N73" i="13"/>
  <c r="N74" i="13" s="1"/>
  <c r="F73" i="13"/>
  <c r="F74" i="13" s="1"/>
  <c r="U73" i="13"/>
  <c r="U74" i="13" s="1"/>
  <c r="M73" i="13"/>
  <c r="M74" i="13" s="1"/>
  <c r="E73" i="13"/>
  <c r="E74" i="13" s="1"/>
  <c r="T73" i="13"/>
  <c r="T74" i="13" s="1"/>
  <c r="L73" i="13"/>
  <c r="L74" i="13" s="1"/>
  <c r="S73" i="13"/>
  <c r="S74" i="13" s="1"/>
  <c r="R73" i="13"/>
  <c r="R74" i="13" s="1"/>
  <c r="J73" i="13"/>
  <c r="J74" i="13" s="1"/>
  <c r="K497" i="5"/>
  <c r="K502" i="5" s="1"/>
  <c r="K503" i="5" s="1"/>
  <c r="K463" i="5"/>
  <c r="K468" i="5" s="1"/>
  <c r="K429" i="5"/>
  <c r="K434" i="5" s="1"/>
  <c r="K435" i="5" s="1"/>
  <c r="K531" i="5"/>
  <c r="K536" i="5" s="1"/>
  <c r="K539" i="5" s="1"/>
  <c r="L638" i="5"/>
  <c r="K641" i="5" s="1"/>
  <c r="K607" i="5"/>
  <c r="K403" i="5"/>
  <c r="K605" i="5"/>
  <c r="K401" i="5"/>
  <c r="K673" i="5"/>
  <c r="K675" i="5"/>
  <c r="K571" i="5"/>
  <c r="K573" i="5"/>
  <c r="K369" i="5"/>
  <c r="K367" i="5"/>
  <c r="F221" i="13"/>
  <c r="L221" i="13"/>
  <c r="M221" i="13"/>
  <c r="Q221" i="13"/>
  <c r="U221" i="13"/>
  <c r="G221" i="13"/>
  <c r="O221" i="13"/>
  <c r="X221" i="13"/>
  <c r="I221" i="13"/>
  <c r="J221" i="13"/>
  <c r="N221" i="13"/>
  <c r="R221" i="13"/>
  <c r="V221" i="13"/>
  <c r="H221" i="13"/>
  <c r="S221" i="13"/>
  <c r="E221" i="13"/>
  <c r="W221" i="13"/>
  <c r="P221" i="13"/>
  <c r="T221" i="13"/>
  <c r="K221" i="13"/>
  <c r="R93" i="13"/>
  <c r="R114" i="13"/>
  <c r="B319" i="5"/>
  <c r="B285" i="5"/>
  <c r="B251" i="5"/>
  <c r="B217" i="5"/>
  <c r="B183" i="5"/>
  <c r="B149" i="5"/>
  <c r="B115" i="5"/>
  <c r="B81" i="5"/>
  <c r="B47" i="5"/>
  <c r="K505" i="5" l="1"/>
  <c r="K469" i="5"/>
  <c r="K470" i="5" s="1"/>
  <c r="K537" i="5"/>
  <c r="K538" i="5" s="1"/>
  <c r="K471" i="5"/>
  <c r="K437" i="5"/>
  <c r="K639" i="5"/>
  <c r="K640" i="5" s="1"/>
  <c r="K402" i="5"/>
  <c r="A385" i="5"/>
  <c r="K606" i="5"/>
  <c r="A589" i="5"/>
  <c r="K504" i="5"/>
  <c r="A487" i="5"/>
  <c r="K436" i="5"/>
  <c r="A419" i="5"/>
  <c r="K674" i="5"/>
  <c r="A657" i="5"/>
  <c r="K572" i="5"/>
  <c r="A555" i="5"/>
  <c r="K368" i="5"/>
  <c r="A351" i="5"/>
  <c r="V282" i="13"/>
  <c r="W282" i="13"/>
  <c r="I282" i="13"/>
  <c r="U282" i="13"/>
  <c r="K282" i="13"/>
  <c r="E282" i="13"/>
  <c r="R282" i="13"/>
  <c r="X282" i="13"/>
  <c r="Q282" i="13"/>
  <c r="T282" i="13"/>
  <c r="S282" i="13"/>
  <c r="N282" i="13"/>
  <c r="O282" i="13"/>
  <c r="M282" i="13"/>
  <c r="F282" i="13"/>
  <c r="P282" i="13"/>
  <c r="H282" i="13"/>
  <c r="J282" i="13"/>
  <c r="G282" i="13"/>
  <c r="L282" i="13"/>
  <c r="K222" i="13"/>
  <c r="K219" i="13" s="1"/>
  <c r="K218" i="13" s="1"/>
  <c r="R222" i="13"/>
  <c r="R219" i="13" s="1"/>
  <c r="R218" i="13" s="1"/>
  <c r="X222" i="13"/>
  <c r="X219" i="13" s="1"/>
  <c r="X218" i="13" s="1"/>
  <c r="Q222" i="13"/>
  <c r="Q219" i="13" s="1"/>
  <c r="Q218" i="13" s="1"/>
  <c r="T222" i="13"/>
  <c r="T219" i="13" s="1"/>
  <c r="T218" i="13" s="1"/>
  <c r="S222" i="13"/>
  <c r="S219" i="13" s="1"/>
  <c r="S218" i="13" s="1"/>
  <c r="N222" i="13"/>
  <c r="N219" i="13" s="1"/>
  <c r="N218" i="13" s="1"/>
  <c r="O222" i="13"/>
  <c r="O219" i="13" s="1"/>
  <c r="O218" i="13" s="1"/>
  <c r="M222" i="13"/>
  <c r="M219" i="13" s="1"/>
  <c r="M218" i="13" s="1"/>
  <c r="P222" i="13"/>
  <c r="P219" i="13" s="1"/>
  <c r="P218" i="13" s="1"/>
  <c r="H222" i="13"/>
  <c r="H219" i="13" s="1"/>
  <c r="H218" i="13" s="1"/>
  <c r="J222" i="13"/>
  <c r="J219" i="13" s="1"/>
  <c r="J218" i="13" s="1"/>
  <c r="G222" i="13"/>
  <c r="G219" i="13" s="1"/>
  <c r="G218" i="13" s="1"/>
  <c r="L222" i="13"/>
  <c r="L219" i="13" s="1"/>
  <c r="L218" i="13" s="1"/>
  <c r="E222" i="13"/>
  <c r="E219" i="13" s="1"/>
  <c r="E218" i="13" s="1"/>
  <c r="W222" i="13"/>
  <c r="W219" i="13" s="1"/>
  <c r="W218" i="13" s="1"/>
  <c r="V222" i="13"/>
  <c r="V219" i="13" s="1"/>
  <c r="V218" i="13" s="1"/>
  <c r="I222" i="13"/>
  <c r="I219" i="13" s="1"/>
  <c r="I218" i="13" s="1"/>
  <c r="U222" i="13"/>
  <c r="U219" i="13" s="1"/>
  <c r="U218" i="13" s="1"/>
  <c r="F222" i="13"/>
  <c r="F219" i="13" s="1"/>
  <c r="F218" i="13" s="1"/>
  <c r="S93" i="13"/>
  <c r="S114" i="13"/>
  <c r="A453" i="5" l="1"/>
  <c r="A521" i="5"/>
  <c r="A623" i="5"/>
  <c r="I313" i="13"/>
  <c r="I311" i="13"/>
  <c r="L311" i="13"/>
  <c r="L313" i="13"/>
  <c r="P313" i="13"/>
  <c r="P311" i="13"/>
  <c r="O313" i="13"/>
  <c r="O311" i="13"/>
  <c r="Q313" i="13"/>
  <c r="Q311" i="13"/>
  <c r="R313" i="13"/>
  <c r="R311" i="13"/>
  <c r="U313" i="13"/>
  <c r="U311" i="13"/>
  <c r="V311" i="13"/>
  <c r="V313" i="13"/>
  <c r="E311" i="13"/>
  <c r="E313" i="13"/>
  <c r="G313" i="13"/>
  <c r="G311" i="13"/>
  <c r="H313" i="13"/>
  <c r="H311" i="13"/>
  <c r="M311" i="13"/>
  <c r="M313" i="13"/>
  <c r="N313" i="13"/>
  <c r="N311" i="13"/>
  <c r="T313" i="13"/>
  <c r="T311" i="13"/>
  <c r="X311" i="13"/>
  <c r="X313" i="13"/>
  <c r="K313" i="13"/>
  <c r="K311" i="13"/>
  <c r="F311" i="13"/>
  <c r="F313" i="13"/>
  <c r="W313" i="13"/>
  <c r="W311" i="13"/>
  <c r="J313" i="13"/>
  <c r="J311" i="13"/>
  <c r="S313" i="13"/>
  <c r="S311" i="13"/>
  <c r="T93" i="13"/>
  <c r="T114" i="13"/>
  <c r="C20" i="11"/>
  <c r="C19" i="11"/>
  <c r="C18" i="11"/>
  <c r="C17" i="11"/>
  <c r="C16" i="11"/>
  <c r="C15" i="11"/>
  <c r="C14" i="11"/>
  <c r="C13" i="11"/>
  <c r="C12" i="11"/>
  <c r="F307" i="13" l="1"/>
  <c r="F317" i="13" s="1"/>
  <c r="X307" i="13"/>
  <c r="X317" i="13" s="1"/>
  <c r="E307" i="13"/>
  <c r="E317" i="13" s="1"/>
  <c r="M307" i="13"/>
  <c r="M317" i="13" s="1"/>
  <c r="V307" i="13"/>
  <c r="V317" i="13" s="1"/>
  <c r="L307" i="13"/>
  <c r="L317" i="13" s="1"/>
  <c r="W307" i="13"/>
  <c r="W317" i="13" s="1"/>
  <c r="O307" i="13"/>
  <c r="O317" i="13" s="1"/>
  <c r="S307" i="13"/>
  <c r="S317" i="13" s="1"/>
  <c r="K307" i="13"/>
  <c r="K317" i="13" s="1"/>
  <c r="T307" i="13"/>
  <c r="T317" i="13" s="1"/>
  <c r="G307" i="13"/>
  <c r="G317" i="13" s="1"/>
  <c r="R307" i="13"/>
  <c r="R317" i="13" s="1"/>
  <c r="J307" i="13"/>
  <c r="J317" i="13" s="1"/>
  <c r="N307" i="13"/>
  <c r="N317" i="13" s="1"/>
  <c r="H307" i="13"/>
  <c r="H317" i="13" s="1"/>
  <c r="U307" i="13"/>
  <c r="U317" i="13" s="1"/>
  <c r="Q307" i="13"/>
  <c r="Q317" i="13" s="1"/>
  <c r="P307" i="13"/>
  <c r="P317" i="13" s="1"/>
  <c r="I307" i="13"/>
  <c r="I317" i="13" s="1"/>
  <c r="U93" i="13"/>
  <c r="U114" i="13"/>
  <c r="I321" i="13" l="1"/>
  <c r="I322" i="13" s="1"/>
  <c r="I324" i="13" s="1"/>
  <c r="G321" i="13"/>
  <c r="G322" i="13" s="1"/>
  <c r="G324" i="13" s="1"/>
  <c r="M321" i="13"/>
  <c r="M322" i="13" s="1"/>
  <c r="M324" i="13" s="1"/>
  <c r="P321" i="13"/>
  <c r="P322" i="13" s="1"/>
  <c r="P324" i="13" s="1"/>
  <c r="N321" i="13"/>
  <c r="N322" i="13" s="1"/>
  <c r="N324" i="13" s="1"/>
  <c r="T321" i="13"/>
  <c r="T322" i="13" s="1"/>
  <c r="T324" i="13" s="1"/>
  <c r="W321" i="13"/>
  <c r="W322" i="13" s="1"/>
  <c r="W324" i="13" s="1"/>
  <c r="E321" i="13"/>
  <c r="E322" i="13" s="1"/>
  <c r="E324" i="13" s="1"/>
  <c r="Q321" i="13"/>
  <c r="Q322" i="13" s="1"/>
  <c r="Q324" i="13" s="1"/>
  <c r="J321" i="13"/>
  <c r="J322" i="13" s="1"/>
  <c r="J324" i="13" s="1"/>
  <c r="K321" i="13"/>
  <c r="K322" i="13" s="1"/>
  <c r="K324" i="13" s="1"/>
  <c r="L321" i="13"/>
  <c r="L322" i="13" s="1"/>
  <c r="L324" i="13" s="1"/>
  <c r="X321" i="13"/>
  <c r="X322" i="13" s="1"/>
  <c r="X324" i="13" s="1"/>
  <c r="H321" i="13"/>
  <c r="H322" i="13" s="1"/>
  <c r="H324" i="13" s="1"/>
  <c r="O321" i="13"/>
  <c r="O322" i="13" s="1"/>
  <c r="O324" i="13" s="1"/>
  <c r="U321" i="13"/>
  <c r="U322" i="13" s="1"/>
  <c r="U324" i="13" s="1"/>
  <c r="R321" i="13"/>
  <c r="R322" i="13" s="1"/>
  <c r="R324" i="13" s="1"/>
  <c r="S321" i="13"/>
  <c r="S322" i="13" s="1"/>
  <c r="S324" i="13" s="1"/>
  <c r="V321" i="13"/>
  <c r="V322" i="13" s="1"/>
  <c r="V324" i="13" s="1"/>
  <c r="F321" i="13"/>
  <c r="F322" i="13" s="1"/>
  <c r="F324" i="13" s="1"/>
  <c r="V93" i="13"/>
  <c r="V114" i="13"/>
  <c r="C87" i="5"/>
  <c r="C121" i="5"/>
  <c r="C155" i="5"/>
  <c r="C189" i="5"/>
  <c r="C223" i="5"/>
  <c r="C257" i="5"/>
  <c r="C291" i="5"/>
  <c r="C292" i="5" s="1"/>
  <c r="C325" i="5"/>
  <c r="C326" i="5" s="1"/>
  <c r="C19" i="5"/>
  <c r="C20" i="5" l="1"/>
  <c r="C88" i="5"/>
  <c r="C190" i="5"/>
  <c r="C54" i="5"/>
  <c r="C224" i="5"/>
  <c r="C156" i="5"/>
  <c r="C258" i="5"/>
  <c r="C122" i="5"/>
  <c r="D326" i="13"/>
  <c r="W114" i="13"/>
  <c r="Y94" i="13"/>
  <c r="W93" i="13"/>
  <c r="F304" i="5"/>
  <c r="L294" i="5" s="1"/>
  <c r="F236" i="5"/>
  <c r="L226" i="5" s="1"/>
  <c r="F168" i="5"/>
  <c r="L158" i="5" s="1"/>
  <c r="F100" i="5"/>
  <c r="L90" i="5" s="1"/>
  <c r="F32" i="5"/>
  <c r="F338" i="5"/>
  <c r="L328" i="5" s="1"/>
  <c r="F202" i="5"/>
  <c r="L192" i="5" s="1"/>
  <c r="F134" i="5"/>
  <c r="L124" i="5" s="1"/>
  <c r="F66" i="5"/>
  <c r="L56" i="5" s="1"/>
  <c r="F270" i="5"/>
  <c r="L260" i="5" s="1"/>
  <c r="E318" i="5"/>
  <c r="E284" i="5"/>
  <c r="E250" i="5"/>
  <c r="E216" i="5"/>
  <c r="E182" i="5"/>
  <c r="E148" i="5"/>
  <c r="E114" i="5"/>
  <c r="E80" i="5"/>
  <c r="E46" i="5"/>
  <c r="F29" i="5" l="1"/>
  <c r="L18" i="5" s="1"/>
  <c r="D41" i="5"/>
  <c r="D42" i="5" s="1"/>
  <c r="D313" i="5"/>
  <c r="D314" i="5" s="1"/>
  <c r="F199" i="5"/>
  <c r="L188" i="5" s="1"/>
  <c r="D211" i="5"/>
  <c r="D212" i="5" s="1"/>
  <c r="D347" i="5"/>
  <c r="D348" i="5" s="1"/>
  <c r="F267" i="5"/>
  <c r="L256" i="5" s="1"/>
  <c r="D279" i="5"/>
  <c r="D280" i="5" s="1"/>
  <c r="D177" i="5"/>
  <c r="D178" i="5" s="1"/>
  <c r="D109" i="5"/>
  <c r="D110" i="5" s="1"/>
  <c r="F233" i="5"/>
  <c r="L222" i="5" s="1"/>
  <c r="D245" i="5"/>
  <c r="D246" i="5" s="1"/>
  <c r="F131" i="5"/>
  <c r="L120" i="5" s="1"/>
  <c r="D143" i="5"/>
  <c r="D144" i="5" s="1"/>
  <c r="D75" i="5"/>
  <c r="D76" i="5" s="1"/>
  <c r="D336" i="5"/>
  <c r="F335" i="5"/>
  <c r="L324" i="5" s="1"/>
  <c r="F166" i="5"/>
  <c r="F165" i="5"/>
  <c r="L154" i="5" s="1"/>
  <c r="D98" i="5"/>
  <c r="F97" i="5"/>
  <c r="L86" i="5" s="1"/>
  <c r="F64" i="5"/>
  <c r="F63" i="5"/>
  <c r="L52" i="5" s="1"/>
  <c r="F302" i="5"/>
  <c r="L292" i="5" s="1"/>
  <c r="F301" i="5"/>
  <c r="L290" i="5" s="1"/>
  <c r="D132" i="5"/>
  <c r="D30" i="5"/>
  <c r="F28" i="5"/>
  <c r="F132" i="5"/>
  <c r="F198" i="5"/>
  <c r="L194" i="5" s="1"/>
  <c r="L191" i="5" s="1"/>
  <c r="F96" i="5"/>
  <c r="L92" i="5" s="1"/>
  <c r="L89" i="5" s="1"/>
  <c r="F232" i="5"/>
  <c r="L228" i="5" s="1"/>
  <c r="L225" i="5" s="1"/>
  <c r="D64" i="5"/>
  <c r="F98" i="5"/>
  <c r="L88" i="5" s="1"/>
  <c r="D302" i="5"/>
  <c r="F36" i="5"/>
  <c r="L19" i="5" s="1"/>
  <c r="F130" i="5"/>
  <c r="L126" i="5" s="1"/>
  <c r="L123" i="5" s="1"/>
  <c r="F266" i="5"/>
  <c r="L262" i="5" s="1"/>
  <c r="L259" i="5" s="1"/>
  <c r="D268" i="5"/>
  <c r="F30" i="5"/>
  <c r="D234" i="5"/>
  <c r="F334" i="5"/>
  <c r="L330" i="5" s="1"/>
  <c r="L327" i="5" s="1"/>
  <c r="F200" i="5"/>
  <c r="F62" i="5"/>
  <c r="F164" i="5"/>
  <c r="L160" i="5" s="1"/>
  <c r="L157" i="5" s="1"/>
  <c r="F300" i="5"/>
  <c r="F268" i="5"/>
  <c r="L258" i="5" s="1"/>
  <c r="L255" i="5" s="1"/>
  <c r="D200" i="5"/>
  <c r="F336" i="5"/>
  <c r="L326" i="5" s="1"/>
  <c r="L323" i="5" s="1"/>
  <c r="D166" i="5"/>
  <c r="F234" i="5"/>
  <c r="D27" i="5"/>
  <c r="D117" i="13"/>
  <c r="D125" i="13" s="1"/>
  <c r="I12" i="11" l="1"/>
  <c r="G12" i="11"/>
  <c r="L296" i="5"/>
  <c r="L293" i="5" s="1"/>
  <c r="I20" i="11"/>
  <c r="L58" i="5"/>
  <c r="L55" i="5" s="1"/>
  <c r="I13" i="11"/>
  <c r="L20" i="5"/>
  <c r="L17" i="5" s="1"/>
  <c r="L190" i="5"/>
  <c r="L187" i="5" s="1"/>
  <c r="L122" i="5"/>
  <c r="L119" i="5" s="1"/>
  <c r="L224" i="5"/>
  <c r="L221" i="5" s="1"/>
  <c r="L54" i="5"/>
  <c r="L156" i="5"/>
  <c r="L153" i="5" s="1"/>
  <c r="D129" i="13"/>
  <c r="D130" i="13" s="1"/>
  <c r="D132" i="13" s="1"/>
  <c r="K24" i="5"/>
  <c r="D339" i="5"/>
  <c r="K329" i="5" s="1"/>
  <c r="D337" i="5"/>
  <c r="D338" i="5" s="1"/>
  <c r="D335" i="5"/>
  <c r="K324" i="5" s="1"/>
  <c r="K326" i="5" s="1"/>
  <c r="K323" i="5" s="1"/>
  <c r="D333" i="5"/>
  <c r="F342" i="5"/>
  <c r="L325" i="5" s="1"/>
  <c r="D305" i="5"/>
  <c r="K295" i="5" s="1"/>
  <c r="D303" i="5"/>
  <c r="D304" i="5" s="1"/>
  <c r="D301" i="5"/>
  <c r="K290" i="5" s="1"/>
  <c r="K292" i="5" s="1"/>
  <c r="K289" i="5" s="1"/>
  <c r="D299" i="5"/>
  <c r="F308" i="5"/>
  <c r="L291" i="5" s="1"/>
  <c r="L289" i="5" s="1"/>
  <c r="D271" i="5"/>
  <c r="K261" i="5" s="1"/>
  <c r="D269" i="5"/>
  <c r="D270" i="5" s="1"/>
  <c r="D267" i="5"/>
  <c r="K256" i="5" s="1"/>
  <c r="K258" i="5" s="1"/>
  <c r="K255" i="5" s="1"/>
  <c r="D265" i="5"/>
  <c r="F274" i="5"/>
  <c r="L257" i="5" s="1"/>
  <c r="D237" i="5"/>
  <c r="K227" i="5" s="1"/>
  <c r="D235" i="5"/>
  <c r="D236" i="5" s="1"/>
  <c r="D233" i="5"/>
  <c r="K222" i="5" s="1"/>
  <c r="K224" i="5" s="1"/>
  <c r="K221" i="5" s="1"/>
  <c r="D231" i="5"/>
  <c r="F240" i="5"/>
  <c r="L223" i="5" s="1"/>
  <c r="D203" i="5"/>
  <c r="K193" i="5" s="1"/>
  <c r="D201" i="5"/>
  <c r="D202" i="5" s="1"/>
  <c r="D199" i="5"/>
  <c r="K188" i="5" s="1"/>
  <c r="K190" i="5" s="1"/>
  <c r="K187" i="5" s="1"/>
  <c r="D197" i="5"/>
  <c r="F206" i="5"/>
  <c r="L189" i="5" s="1"/>
  <c r="D169" i="5"/>
  <c r="K159" i="5" s="1"/>
  <c r="D167" i="5"/>
  <c r="D168" i="5" s="1"/>
  <c r="D165" i="5"/>
  <c r="K154" i="5" s="1"/>
  <c r="K156" i="5" s="1"/>
  <c r="K153" i="5" s="1"/>
  <c r="D163" i="5"/>
  <c r="K160" i="5" s="1"/>
  <c r="F172" i="5"/>
  <c r="L155" i="5" s="1"/>
  <c r="D135" i="5"/>
  <c r="K125" i="5" s="1"/>
  <c r="D133" i="5"/>
  <c r="D134" i="5" s="1"/>
  <c r="D131" i="5"/>
  <c r="K120" i="5" s="1"/>
  <c r="K122" i="5" s="1"/>
  <c r="K119" i="5" s="1"/>
  <c r="D129" i="5"/>
  <c r="F138" i="5"/>
  <c r="D101" i="5"/>
  <c r="K91" i="5" s="1"/>
  <c r="D99" i="5"/>
  <c r="D100" i="5" s="1"/>
  <c r="D97" i="5"/>
  <c r="K86" i="5" s="1"/>
  <c r="K88" i="5" s="1"/>
  <c r="K85" i="5" s="1"/>
  <c r="D95" i="5"/>
  <c r="F104" i="5"/>
  <c r="L87" i="5" s="1"/>
  <c r="L85" i="5" s="1"/>
  <c r="D67" i="5"/>
  <c r="K57" i="5" s="1"/>
  <c r="D65" i="5"/>
  <c r="D66" i="5" s="1"/>
  <c r="K56" i="5" s="1"/>
  <c r="D63" i="5"/>
  <c r="K52" i="5" s="1"/>
  <c r="K54" i="5" s="1"/>
  <c r="K51" i="5" s="1"/>
  <c r="D61" i="5"/>
  <c r="F70" i="5"/>
  <c r="L53" i="5" s="1"/>
  <c r="L23" i="5"/>
  <c r="G20" i="11" l="1"/>
  <c r="G13" i="11"/>
  <c r="K58" i="5"/>
  <c r="L51" i="5"/>
  <c r="K296" i="5"/>
  <c r="K126" i="5"/>
  <c r="K194" i="5"/>
  <c r="K262" i="5"/>
  <c r="K92" i="5"/>
  <c r="K55" i="5"/>
  <c r="L128" i="5"/>
  <c r="L121" i="5"/>
  <c r="K228" i="5"/>
  <c r="K330" i="5"/>
  <c r="E29" i="13"/>
  <c r="E28" i="13" s="1"/>
  <c r="F92" i="13"/>
  <c r="G92" i="13"/>
  <c r="H92" i="13"/>
  <c r="H121" i="13" s="1"/>
  <c r="E92" i="13"/>
  <c r="F29" i="13"/>
  <c r="F28" i="13" s="1"/>
  <c r="G29" i="13"/>
  <c r="G28" i="13" s="1"/>
  <c r="H29" i="13"/>
  <c r="H28" i="13" s="1"/>
  <c r="K192" i="5"/>
  <c r="K191" i="5" s="1"/>
  <c r="K124" i="5"/>
  <c r="K123" i="5" s="1"/>
  <c r="K260" i="5"/>
  <c r="K259" i="5" s="1"/>
  <c r="K294" i="5"/>
  <c r="K158" i="5"/>
  <c r="K157" i="5" s="1"/>
  <c r="K328" i="5"/>
  <c r="K327" i="5" s="1"/>
  <c r="K90" i="5"/>
  <c r="K89" i="5" s="1"/>
  <c r="K226" i="5"/>
  <c r="K225" i="5" s="1"/>
  <c r="D33" i="5"/>
  <c r="K23" i="5" s="1"/>
  <c r="D31" i="5"/>
  <c r="D32" i="5" s="1"/>
  <c r="D29" i="5"/>
  <c r="K18" i="5" s="1"/>
  <c r="K20" i="5" s="1"/>
  <c r="F42" i="5"/>
  <c r="L24" i="5" s="1"/>
  <c r="G32" i="11" l="1"/>
  <c r="K293" i="5"/>
  <c r="K128" i="5"/>
  <c r="K131" i="5" s="1"/>
  <c r="E119" i="13"/>
  <c r="K264" i="5"/>
  <c r="K162" i="5"/>
  <c r="K298" i="5"/>
  <c r="K230" i="5"/>
  <c r="K196" i="5"/>
  <c r="J92" i="13"/>
  <c r="J119" i="13" s="1"/>
  <c r="J29" i="13"/>
  <c r="J28" i="13" s="1"/>
  <c r="I92" i="13"/>
  <c r="I121" i="13" s="1"/>
  <c r="I29" i="13"/>
  <c r="I28" i="13" s="1"/>
  <c r="H119" i="13"/>
  <c r="E121" i="13"/>
  <c r="G121" i="13"/>
  <c r="G119" i="13"/>
  <c r="F121" i="13"/>
  <c r="F119" i="13"/>
  <c r="L298" i="5"/>
  <c r="L162" i="5"/>
  <c r="L332" i="5"/>
  <c r="L264" i="5"/>
  <c r="L230" i="5"/>
  <c r="L60" i="5"/>
  <c r="L94" i="5"/>
  <c r="L196" i="5"/>
  <c r="H32" i="11" l="1"/>
  <c r="I32" i="11"/>
  <c r="K60" i="5"/>
  <c r="K61" i="5" s="1"/>
  <c r="K332" i="5"/>
  <c r="K333" i="5" s="1"/>
  <c r="K94" i="5"/>
  <c r="K95" i="5" s="1"/>
  <c r="K233" i="5"/>
  <c r="K267" i="5"/>
  <c r="K301" i="5"/>
  <c r="K199" i="5"/>
  <c r="K165" i="5"/>
  <c r="J121" i="13"/>
  <c r="J117" i="13" s="1"/>
  <c r="J125" i="13" s="1"/>
  <c r="J18" i="11"/>
  <c r="H117" i="13"/>
  <c r="H125" i="13" s="1"/>
  <c r="K92" i="13"/>
  <c r="K121" i="13" s="1"/>
  <c r="K29" i="13"/>
  <c r="K28" i="13" s="1"/>
  <c r="J14" i="11"/>
  <c r="J15" i="11"/>
  <c r="J12" i="11"/>
  <c r="J13" i="11"/>
  <c r="J21" i="11"/>
  <c r="J20" i="11"/>
  <c r="J19" i="11"/>
  <c r="J17" i="11"/>
  <c r="J16" i="11"/>
  <c r="E117" i="13"/>
  <c r="E125" i="13" s="1"/>
  <c r="F117" i="13"/>
  <c r="F125" i="13" s="1"/>
  <c r="G117" i="13"/>
  <c r="G125" i="13" s="1"/>
  <c r="K163" i="5"/>
  <c r="K97" i="5"/>
  <c r="K299" i="5"/>
  <c r="K231" i="5"/>
  <c r="K265" i="5"/>
  <c r="K129" i="5"/>
  <c r="K197" i="5"/>
  <c r="K63" i="5" l="1"/>
  <c r="J32" i="11"/>
  <c r="K266" i="5"/>
  <c r="A249" i="5"/>
  <c r="K198" i="5"/>
  <c r="A181" i="5"/>
  <c r="K232" i="5"/>
  <c r="A215" i="5"/>
  <c r="K130" i="5"/>
  <c r="A113" i="5"/>
  <c r="K300" i="5"/>
  <c r="A283" i="5"/>
  <c r="K164" i="5"/>
  <c r="A147" i="5"/>
  <c r="K334" i="5"/>
  <c r="A317" i="5"/>
  <c r="K62" i="5"/>
  <c r="A45" i="5"/>
  <c r="K96" i="5"/>
  <c r="A79" i="5"/>
  <c r="K335" i="5"/>
  <c r="H129" i="13"/>
  <c r="H130" i="13" s="1"/>
  <c r="H132" i="13" s="1"/>
  <c r="J129" i="13"/>
  <c r="J130" i="13" s="1"/>
  <c r="J132" i="13" s="1"/>
  <c r="I119" i="13"/>
  <c r="I117" i="13" s="1"/>
  <c r="I125" i="13" s="1"/>
  <c r="L92" i="13"/>
  <c r="L119" i="13" s="1"/>
  <c r="L29" i="13"/>
  <c r="L28" i="13" s="1"/>
  <c r="G129" i="13"/>
  <c r="E129" i="13"/>
  <c r="F129" i="13"/>
  <c r="I129" i="13" l="1"/>
  <c r="I130" i="13" s="1"/>
  <c r="I132" i="13" s="1"/>
  <c r="L121" i="13"/>
  <c r="L117" i="13" s="1"/>
  <c r="L125" i="13" s="1"/>
  <c r="K119" i="13"/>
  <c r="K117" i="13" s="1"/>
  <c r="K125" i="13" s="1"/>
  <c r="G130" i="13"/>
  <c r="G132" i="13" s="1"/>
  <c r="F130" i="13"/>
  <c r="F132" i="13" s="1"/>
  <c r="E130" i="13"/>
  <c r="E132" i="13" s="1"/>
  <c r="M92" i="13"/>
  <c r="M121" i="13" s="1"/>
  <c r="M29" i="13"/>
  <c r="M28" i="13" s="1"/>
  <c r="K22" i="5"/>
  <c r="M119" i="13" l="1"/>
  <c r="M117" i="13" s="1"/>
  <c r="M125" i="13" s="1"/>
  <c r="K129" i="13"/>
  <c r="K130" i="13" s="1"/>
  <c r="K132" i="13" s="1"/>
  <c r="N92" i="13"/>
  <c r="N121" i="13" s="1"/>
  <c r="N29" i="13"/>
  <c r="N28" i="13" s="1"/>
  <c r="L129" i="13"/>
  <c r="L22" i="5"/>
  <c r="K19" i="5"/>
  <c r="K17" i="5" s="1"/>
  <c r="N119" i="13" l="1"/>
  <c r="N117" i="13" s="1"/>
  <c r="N125" i="13" s="1"/>
  <c r="L130" i="13"/>
  <c r="L132" i="13" s="1"/>
  <c r="O92" i="13"/>
  <c r="O121" i="13" s="1"/>
  <c r="O29" i="13"/>
  <c r="O28" i="13" s="1"/>
  <c r="M129" i="13"/>
  <c r="L21" i="5"/>
  <c r="K21" i="5"/>
  <c r="N129" i="13" l="1"/>
  <c r="N130" i="13" s="1"/>
  <c r="N132" i="13" s="1"/>
  <c r="O119" i="13"/>
  <c r="O117" i="13" s="1"/>
  <c r="O125" i="13" s="1"/>
  <c r="M130" i="13"/>
  <c r="M132" i="13" s="1"/>
  <c r="P92" i="13"/>
  <c r="P121" i="13" s="1"/>
  <c r="P29" i="13"/>
  <c r="P28" i="13" s="1"/>
  <c r="F7" i="11"/>
  <c r="K26" i="5"/>
  <c r="L26" i="5"/>
  <c r="O129" i="13" l="1"/>
  <c r="O130" i="13" s="1"/>
  <c r="O132" i="13" s="1"/>
  <c r="Q92" i="13"/>
  <c r="Q121" i="13" s="1"/>
  <c r="Q29" i="13"/>
  <c r="Q28" i="13" s="1"/>
  <c r="K29" i="5"/>
  <c r="K27" i="5"/>
  <c r="A11" i="5" s="1"/>
  <c r="C8" i="5" s="1"/>
  <c r="K28" i="5" l="1"/>
  <c r="P119" i="13"/>
  <c r="P117" i="13" s="1"/>
  <c r="P125" i="13" s="1"/>
  <c r="R92" i="13"/>
  <c r="R121" i="13" s="1"/>
  <c r="R29" i="13"/>
  <c r="R28" i="13" s="1"/>
  <c r="P129" i="13" l="1"/>
  <c r="P130" i="13" s="1"/>
  <c r="P132" i="13" s="1"/>
  <c r="Q119" i="13"/>
  <c r="Q117" i="13" s="1"/>
  <c r="Q125" i="13" s="1"/>
  <c r="S92" i="13"/>
  <c r="S121" i="13" s="1"/>
  <c r="S29" i="13"/>
  <c r="S28" i="13" s="1"/>
  <c r="Q129" i="13" l="1"/>
  <c r="Q130" i="13" s="1"/>
  <c r="Q132" i="13" s="1"/>
  <c r="R119" i="13"/>
  <c r="R117" i="13" s="1"/>
  <c r="R125" i="13" s="1"/>
  <c r="S119" i="13"/>
  <c r="S117" i="13" s="1"/>
  <c r="S125" i="13" s="1"/>
  <c r="T92" i="13"/>
  <c r="T121" i="13" s="1"/>
  <c r="T29" i="13"/>
  <c r="T28" i="13" s="1"/>
  <c r="S129" i="13" l="1"/>
  <c r="S130" i="13" s="1"/>
  <c r="S132" i="13" s="1"/>
  <c r="R129" i="13"/>
  <c r="R130" i="13" s="1"/>
  <c r="R132" i="13" s="1"/>
  <c r="T119" i="13"/>
  <c r="T117" i="13" s="1"/>
  <c r="T125" i="13" s="1"/>
  <c r="U92" i="13"/>
  <c r="U121" i="13" s="1"/>
  <c r="U29" i="13"/>
  <c r="U28" i="13" s="1"/>
  <c r="T129" i="13" l="1"/>
  <c r="T130" i="13" s="1"/>
  <c r="T132" i="13" s="1"/>
  <c r="V92" i="13"/>
  <c r="V121" i="13" s="1"/>
  <c r="V29" i="13"/>
  <c r="V28" i="13" s="1"/>
  <c r="U119" i="13" l="1"/>
  <c r="U117" i="13" s="1"/>
  <c r="U125" i="13" s="1"/>
  <c r="W92" i="13"/>
  <c r="W121" i="13" s="1"/>
  <c r="W29" i="13"/>
  <c r="W28" i="13" s="1"/>
  <c r="X92" i="13"/>
  <c r="X121" i="13" s="1"/>
  <c r="U129" i="13" l="1"/>
  <c r="U130" i="13" s="1"/>
  <c r="U132" i="13" s="1"/>
  <c r="V119" i="13"/>
  <c r="V117" i="13" s="1"/>
  <c r="V125" i="13" s="1"/>
  <c r="W119" i="13"/>
  <c r="W117" i="13" s="1"/>
  <c r="W125" i="13" s="1"/>
  <c r="X29" i="13"/>
  <c r="X28" i="13" s="1"/>
  <c r="W129" i="13" l="1"/>
  <c r="W130" i="13" s="1"/>
  <c r="W132" i="13" s="1"/>
  <c r="V129" i="13"/>
  <c r="V130" i="13" s="1"/>
  <c r="V132" i="13" s="1"/>
  <c r="X119" i="13"/>
  <c r="X117" i="13" s="1"/>
  <c r="X125" i="13" s="1"/>
  <c r="X129" i="13" l="1"/>
  <c r="X130" i="13" l="1"/>
  <c r="X132" i="13" l="1"/>
  <c r="D134"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RIBEYROLLES Charlyne</author>
  </authors>
  <commentList>
    <comment ref="E41" authorId="0" shapeId="0" xr:uid="{0E0EFBC0-61C3-44F6-B1D7-716CC7F1229C}">
      <text>
        <r>
          <rPr>
            <b/>
            <sz val="9"/>
            <color indexed="81"/>
            <rFont val="Tahoma"/>
            <family val="2"/>
          </rPr>
          <t>Raffinerie de pétrole, estimé à 0,091M€/MWé</t>
        </r>
      </text>
    </comment>
    <comment ref="E51" authorId="0" shapeId="0" xr:uid="{E2EFC902-7F3A-4C56-BABF-478912FF1BB8}">
      <text>
        <r>
          <rPr>
            <b/>
            <sz val="9"/>
            <color indexed="81"/>
            <rFont val="Tahoma"/>
            <family val="2"/>
          </rPr>
          <t>Raffinerie de pétrole, estimé à 0,091M€/MWé</t>
        </r>
      </text>
    </comment>
    <comment ref="E59" authorId="0" shapeId="0" xr:uid="{B7565BDA-D32A-4BA6-9558-D8B5AE274CA9}">
      <text>
        <r>
          <rPr>
            <b/>
            <sz val="9"/>
            <color indexed="81"/>
            <rFont val="Tahoma"/>
            <family val="2"/>
          </rPr>
          <t>Raffinerie de pétrole, estimé à 0,091M€/MWé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RIBEYROLLES Charlyne</author>
  </authors>
  <commentList>
    <comment ref="F54" authorId="0" shapeId="0" xr:uid="{5B505F89-8B02-404A-857A-EAE923077EDC}">
      <text>
        <r>
          <rPr>
            <b/>
            <sz val="9"/>
            <color indexed="81"/>
            <rFont val="Tahoma"/>
            <family val="2"/>
          </rPr>
          <t>Raffinerie de pétrole, estimé à 0,091M€/MWé</t>
        </r>
      </text>
    </comment>
    <comment ref="F87" authorId="0" shapeId="0" xr:uid="{35DA0D91-5FB1-41C3-91A9-F30F76633E02}">
      <text>
        <r>
          <rPr>
            <b/>
            <sz val="9"/>
            <color indexed="81"/>
            <rFont val="Tahoma"/>
            <family val="2"/>
          </rPr>
          <t>Raffinerie de pétrole, estimé à 0,091M€/MWé</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SACHER Pierre</author>
  </authors>
  <commentList>
    <comment ref="B4" authorId="0" shapeId="0" xr:uid="{00000000-0006-0000-0300-000001000000}">
      <text>
        <r>
          <rPr>
            <b/>
            <sz val="9"/>
            <color indexed="81"/>
            <rFont val="Tahoma"/>
            <family val="2"/>
          </rPr>
          <t>Le cas échéant, la valeur entrée remplacera la valeur de référence</t>
        </r>
      </text>
    </comment>
    <comment ref="H8" authorId="0" shapeId="0" xr:uid="{00000000-0006-0000-0300-000002000000}">
      <text>
        <r>
          <rPr>
            <b/>
            <sz val="11"/>
            <color indexed="81"/>
            <rFont val="Tahoma"/>
            <family val="2"/>
          </rPr>
          <t>Le taux d'actualisation est défini dans l'onglet BP infrastructures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SACHER Pierre</author>
  </authors>
  <commentList>
    <comment ref="A24" authorId="0" shapeId="0" xr:uid="{00000000-0006-0000-0400-000001000000}">
      <text>
        <r>
          <rPr>
            <b/>
            <sz val="9"/>
            <color indexed="81"/>
            <rFont val="Tahoma"/>
            <family val="2"/>
          </rPr>
          <t>Lier les CAPEX avec les dépenses présentées dans le cadre de dépôt</t>
        </r>
      </text>
    </comment>
    <comment ref="A90" authorId="0" shapeId="0" xr:uid="{00000000-0006-0000-0400-000002000000}">
      <text>
        <r>
          <rPr>
            <b/>
            <sz val="9"/>
            <color indexed="81"/>
            <rFont val="Tahoma"/>
            <family val="2"/>
          </rPr>
          <t>Véhicules non financés venant possiblement s'avitailler à la station</t>
        </r>
      </text>
    </comment>
    <comment ref="B127" authorId="0" shapeId="0" xr:uid="{00000000-0006-0000-0400-000003000000}">
      <text>
        <r>
          <rPr>
            <b/>
            <sz val="9"/>
            <color indexed="81"/>
            <rFont val="Tahoma"/>
            <family val="2"/>
          </rPr>
          <t xml:space="preserve">Définir la durée d'amortissement et baser les calculs sur les CAPEX engagés
</t>
        </r>
      </text>
    </comment>
    <comment ref="A149" authorId="0" shapeId="0" xr:uid="{00000000-0006-0000-0400-000004000000}">
      <text>
        <r>
          <rPr>
            <b/>
            <sz val="9"/>
            <color indexed="81"/>
            <rFont val="Tahoma"/>
            <family val="2"/>
          </rPr>
          <t>Merci de lier les CAPEX avec les dépenses présentées dans le cadre de dépôt</t>
        </r>
      </text>
    </comment>
    <comment ref="A155" authorId="0" shapeId="0" xr:uid="{00000000-0006-0000-0400-000005000000}">
      <text>
        <r>
          <rPr>
            <b/>
            <sz val="9"/>
            <color indexed="81"/>
            <rFont val="Tahoma"/>
            <family val="2"/>
          </rPr>
          <t>A lier aux achats du BP Distributeur seul</t>
        </r>
      </text>
    </comment>
    <comment ref="B192" authorId="0" shapeId="0" xr:uid="{00000000-0006-0000-0400-000006000000}">
      <text>
        <r>
          <rPr>
            <b/>
            <sz val="9"/>
            <color indexed="81"/>
            <rFont val="Tahoma"/>
            <family val="2"/>
          </rPr>
          <t xml:space="preserve">Définir la durée d'amortissement et baser les calculs sur les CAPEX engagés (comme proposé ci-contre)
</t>
        </r>
      </text>
    </comment>
    <comment ref="A214" authorId="0" shapeId="0" xr:uid="{00000000-0006-0000-0400-000007000000}">
      <text>
        <r>
          <rPr>
            <b/>
            <sz val="9"/>
            <color indexed="81"/>
            <rFont val="Tahoma"/>
            <family val="2"/>
          </rPr>
          <t>Merci de lier les CAPEX avec les dépenses présentées dans le cadre de dépôt</t>
        </r>
      </text>
    </comment>
    <comment ref="A280" authorId="0" shapeId="0" xr:uid="{00000000-0006-0000-0400-000008000000}">
      <text>
        <r>
          <rPr>
            <b/>
            <sz val="9"/>
            <color indexed="81"/>
            <rFont val="Tahoma"/>
            <family val="2"/>
          </rPr>
          <t>Véhicules non financés venant possiblement s'avitailler à la station</t>
        </r>
      </text>
    </comment>
    <comment ref="A283" authorId="0" shapeId="0" xr:uid="{00000000-0006-0000-0400-000009000000}">
      <text>
        <r>
          <rPr>
            <b/>
            <sz val="9"/>
            <color indexed="81"/>
            <rFont val="Tahoma"/>
            <family val="2"/>
          </rPr>
          <t>A renseigner si la vente est faite par le distributeur</t>
        </r>
      </text>
    </comment>
    <comment ref="B308" authorId="0" shapeId="0" xr:uid="{00000000-0006-0000-0400-00000A000000}">
      <text>
        <r>
          <rPr>
            <b/>
            <sz val="9"/>
            <color indexed="81"/>
            <rFont val="Tahoma"/>
            <family val="2"/>
          </rPr>
          <t>A lier aux ventes du BP Producteur seul</t>
        </r>
      </text>
    </comment>
    <comment ref="B319" authorId="0" shapeId="0" xr:uid="{00000000-0006-0000-0400-00000B000000}">
      <text>
        <r>
          <rPr>
            <b/>
            <sz val="9"/>
            <color indexed="81"/>
            <rFont val="Tahoma"/>
            <family val="2"/>
          </rPr>
          <t xml:space="preserve">Définir la durée d'amortissement et baser les calculs sur les CAPEX engagés (comme proposé ci-contre)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SACHER Pierre</author>
  </authors>
  <commentList>
    <comment ref="H3" authorId="0" shapeId="0" xr:uid="{00000000-0006-0000-0600-000001000000}">
      <text>
        <r>
          <rPr>
            <b/>
            <sz val="9"/>
            <color indexed="81"/>
            <rFont val="Tahoma"/>
            <family val="2"/>
          </rPr>
          <t xml:space="preserve">Au sens du cahier des charges. </t>
        </r>
      </text>
    </comment>
    <comment ref="F36" authorId="0" shapeId="0" xr:uid="{00000000-0006-0000-0600-000002000000}">
      <text>
        <r>
          <rPr>
            <b/>
            <sz val="9"/>
            <color indexed="81"/>
            <rFont val="Tahoma"/>
            <charset val="1"/>
          </rPr>
          <t>A renseigner pour les usages stationnaires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SACHER Pierre</author>
  </authors>
  <commentList>
    <comment ref="D4" authorId="0" shapeId="0" xr:uid="{00000000-0006-0000-0700-000001000000}">
      <text>
        <r>
          <rPr>
            <b/>
            <sz val="9"/>
            <color indexed="81"/>
            <rFont val="Tahoma"/>
            <family val="2"/>
          </rPr>
          <t>Moyenne 01/19 - 09/20</t>
        </r>
      </text>
    </comment>
    <comment ref="B9" authorId="0" shapeId="0" xr:uid="{00000000-0006-0000-0700-000002000000}">
      <text>
        <r>
          <rPr>
            <b/>
            <sz val="9"/>
            <color indexed="81"/>
            <rFont val="Tahoma"/>
            <family val="2"/>
          </rPr>
          <t>Evolution annuelle du prix de l'énergie</t>
        </r>
      </text>
    </comment>
    <comment ref="E9" authorId="0" shapeId="0" xr:uid="{00000000-0006-0000-0700-000003000000}">
      <text>
        <r>
          <rPr>
            <b/>
            <sz val="9"/>
            <color indexed="81"/>
            <rFont val="Tahoma"/>
            <family val="2"/>
          </rPr>
          <t>CGDD, page 22, 47% sur période 2020/2030, hypothèse de TICPE fixe</t>
        </r>
      </text>
    </comment>
    <comment ref="B10" authorId="0" shapeId="0" xr:uid="{00000000-0006-0000-0700-000004000000}">
      <text>
        <r>
          <rPr>
            <b/>
            <sz val="9"/>
            <color indexed="81"/>
            <rFont val="Tahoma"/>
            <family val="2"/>
          </rPr>
          <t>Evolution annuelle du prix de l'énergie</t>
        </r>
      </text>
    </comment>
    <comment ref="E10" authorId="0" shapeId="0" xr:uid="{00000000-0006-0000-0700-000005000000}">
      <text>
        <r>
          <rPr>
            <b/>
            <sz val="9"/>
            <color indexed="81"/>
            <rFont val="Tahoma"/>
            <family val="2"/>
          </rPr>
          <t>CGDD, page 22, 21% sur période 2020/2030</t>
        </r>
      </text>
    </comment>
    <comment ref="D71" authorId="0" shapeId="0" xr:uid="{00000000-0006-0000-0700-000006000000}">
      <text>
        <r>
          <rPr>
            <b/>
            <sz val="9"/>
            <color indexed="81"/>
            <rFont val="Tahoma"/>
            <family val="2"/>
          </rPr>
          <t>SACHER Pierre:</t>
        </r>
        <r>
          <rPr>
            <sz val="9"/>
            <color indexed="81"/>
            <rFont val="Tahoma"/>
            <family val="2"/>
          </rPr>
          <t xml:space="preserve">
Extrapolé
</t>
        </r>
      </text>
    </comment>
    <comment ref="D72" authorId="0" shapeId="0" xr:uid="{00000000-0006-0000-0700-000007000000}">
      <text>
        <r>
          <rPr>
            <b/>
            <sz val="9"/>
            <color indexed="81"/>
            <rFont val="Tahoma"/>
            <family val="2"/>
          </rPr>
          <t>SACHER Pierre:</t>
        </r>
        <r>
          <rPr>
            <sz val="9"/>
            <color indexed="81"/>
            <rFont val="Tahoma"/>
            <family val="2"/>
          </rPr>
          <t xml:space="preserve">
Extrapolé</t>
        </r>
      </text>
    </comment>
    <comment ref="A79" authorId="0" shapeId="0" xr:uid="{00000000-0006-0000-0700-000008000000}">
      <text>
        <r>
          <rPr>
            <b/>
            <sz val="9"/>
            <color indexed="81"/>
            <rFont val="Tahoma"/>
            <family val="2"/>
          </rPr>
          <t>Cf Outil "Valeur résiduelle"</t>
        </r>
      </text>
    </comment>
    <comment ref="A93" authorId="0" shapeId="0" xr:uid="{00000000-0006-0000-0700-000009000000}">
      <text>
        <r>
          <rPr>
            <b/>
            <sz val="9"/>
            <color indexed="81"/>
            <rFont val="Tahoma"/>
            <family val="2"/>
          </rPr>
          <t>Cf Outil "Valeur résiduelle"</t>
        </r>
      </text>
    </comment>
  </commentList>
</comments>
</file>

<file path=xl/sharedStrings.xml><?xml version="1.0" encoding="utf-8"?>
<sst xmlns="http://schemas.openxmlformats.org/spreadsheetml/2006/main" count="2393" uniqueCount="390">
  <si>
    <t>Maintenance</t>
  </si>
  <si>
    <t xml:space="preserve">Diesel </t>
  </si>
  <si>
    <t>EUR</t>
  </si>
  <si>
    <t>CAPEX</t>
  </si>
  <si>
    <t>H2</t>
  </si>
  <si>
    <t>kg / 100km</t>
  </si>
  <si>
    <t>n.a.</t>
  </si>
  <si>
    <t>kWh / 100km</t>
  </si>
  <si>
    <t>TCO</t>
  </si>
  <si>
    <t>%</t>
  </si>
  <si>
    <t>Assumptions - Price of energy</t>
  </si>
  <si>
    <t>Kilométrage par an</t>
  </si>
  <si>
    <t>Kilométrage par jour</t>
  </si>
  <si>
    <t>Hypothèses d'utilisation</t>
  </si>
  <si>
    <t>Hypothèses technico-financières</t>
  </si>
  <si>
    <t>Paramètres</t>
  </si>
  <si>
    <t>Unité</t>
  </si>
  <si>
    <t>Consommation (diesel)</t>
  </si>
  <si>
    <t>Consommation (H2)</t>
  </si>
  <si>
    <t>Prix à l'achat</t>
  </si>
  <si>
    <t>Valeur résiduelle</t>
  </si>
  <si>
    <t>Electricité</t>
  </si>
  <si>
    <t>Coût total de possession (TCO)</t>
  </si>
  <si>
    <t>Location batterie</t>
  </si>
  <si>
    <t>Assurance</t>
  </si>
  <si>
    <t>Subventions (total)</t>
  </si>
  <si>
    <t>Location de la batterie</t>
  </si>
  <si>
    <t>Surcoût TCO H2 vs Diesel</t>
  </si>
  <si>
    <t>EUR/km</t>
  </si>
  <si>
    <t>Coût du carburant</t>
  </si>
  <si>
    <t>Coût d'opération (OPEX)</t>
  </si>
  <si>
    <t>Coût d'investissement (CAPEX)</t>
  </si>
  <si>
    <t>L / 100km</t>
  </si>
  <si>
    <t>Subventions</t>
  </si>
  <si>
    <t>EUR / an</t>
  </si>
  <si>
    <t>Prix moyen sur la durée de vie véhicule</t>
  </si>
  <si>
    <t>Année de mise en service</t>
  </si>
  <si>
    <t>Prix de l'électricité (station) en 2019</t>
  </si>
  <si>
    <t>Taux d'inflation du diesel</t>
  </si>
  <si>
    <t>Taux d'inflation de l'électricité</t>
  </si>
  <si>
    <t>Donnée</t>
  </si>
  <si>
    <t>http://temis.documentation.developpement-durable.gouv.fr/docs/Temis/0088/Temis-0088213/23863.pdf</t>
  </si>
  <si>
    <t>https://www.grdf.fr/institutionnel/role-transition-ecologique/rouler-propre-gnv-biognv/passer-au-gnv/tco-vehicule-diesel-gnv</t>
  </si>
  <si>
    <t>EUR / km</t>
  </si>
  <si>
    <t>Journées d'exploitation par an</t>
  </si>
  <si>
    <t>Autre</t>
  </si>
  <si>
    <t>Consommation</t>
  </si>
  <si>
    <t>Véhicules</t>
  </si>
  <si>
    <t>Sources</t>
  </si>
  <si>
    <t>BOM</t>
  </si>
  <si>
    <t>Coût de l'investissement similaire de référence</t>
  </si>
  <si>
    <t>Maintenance Diesel</t>
  </si>
  <si>
    <t>Assurance Diesel</t>
  </si>
  <si>
    <t>Vecteurs énergétiques</t>
  </si>
  <si>
    <t xml:space="preserve"> </t>
  </si>
  <si>
    <t>Usage n°3</t>
  </si>
  <si>
    <t>Usage n°4</t>
  </si>
  <si>
    <t>Usage n°5</t>
  </si>
  <si>
    <t>Usage n°6</t>
  </si>
  <si>
    <t>Usage n°7</t>
  </si>
  <si>
    <t>Usage n°8</t>
  </si>
  <si>
    <t>Usage n°9</t>
  </si>
  <si>
    <t>Usage n°10</t>
  </si>
  <si>
    <t>Réduction GES</t>
  </si>
  <si>
    <t>Consommation diesel 
évitée</t>
  </si>
  <si>
    <t>Nombre de véhicules</t>
  </si>
  <si>
    <t>Distance par véhicule
(km/an)</t>
  </si>
  <si>
    <t>Typologie de véhicule</t>
  </si>
  <si>
    <t>Modèle</t>
  </si>
  <si>
    <t>Hypothèses prises comme référence</t>
  </si>
  <si>
    <t>Emissions de CO2 liées à l'utilisation du gazole :</t>
  </si>
  <si>
    <t>Usage n°1 :</t>
  </si>
  <si>
    <t>Usage n°2 :</t>
  </si>
  <si>
    <t>Taux d'imposition sur les sociétés</t>
  </si>
  <si>
    <t>Eau</t>
  </si>
  <si>
    <t>Type de véhicule</t>
  </si>
  <si>
    <t xml:space="preserve">Hypothèses </t>
  </si>
  <si>
    <t>TRI projet</t>
  </si>
  <si>
    <t>Impôt sur les sociétés</t>
  </si>
  <si>
    <t>Résultat avant impôts et participation</t>
  </si>
  <si>
    <t>Excédent Brut d'Exploitation (EBE) en k€</t>
  </si>
  <si>
    <t>Charges d’exploitation en k€</t>
  </si>
  <si>
    <t>Années</t>
  </si>
  <si>
    <t>Hydrogène</t>
  </si>
  <si>
    <t>Consommation (en MWh)</t>
  </si>
  <si>
    <t>Consommation (en m3)</t>
  </si>
  <si>
    <t>Consommation annuelle/véhicule (en kg d'H2)</t>
  </si>
  <si>
    <t>Bilan environnemental</t>
  </si>
  <si>
    <t>Volet Hypothèses à remplir en premier lieu</t>
  </si>
  <si>
    <t>Free cash flows</t>
  </si>
  <si>
    <t>Autocar</t>
  </si>
  <si>
    <t xml:space="preserve">Camion 5,5 t ou 7,5 t </t>
  </si>
  <si>
    <t>Camion 19 t</t>
  </si>
  <si>
    <t>Emissions de CO2 par kWh du réseau Français 2018, usage transport :</t>
  </si>
  <si>
    <t>Montant du bonus écologique (personne morale) :</t>
  </si>
  <si>
    <t>Nombre de véhicules en demande de financement</t>
  </si>
  <si>
    <t>Bus standard (12 m)</t>
  </si>
  <si>
    <t>Camion 44 t</t>
  </si>
  <si>
    <t>Coût de référence notice Ademe</t>
  </si>
  <si>
    <t>Bus articulé (18 m)</t>
  </si>
  <si>
    <t>Extrapolation VP https://www.ecologique-solidaire.gouv.fr/sites/default/files/Th%C3%A9ma%20-%20Analyse%20co%C3%BBts%20b%C3%A9n%C3%A9fices%20des%20v%C3%A9hicules%20%C3%A9lectriques.pdf</t>
  </si>
  <si>
    <t>VUL de PTAC &lt;2,5t  (fourgonnette)</t>
  </si>
  <si>
    <t>VUL de PTAC &gt;2,5t (fourgon)</t>
  </si>
  <si>
    <t>https://www.prix-carburants.developpement-durable.gouv.fr/petrole/se_cons_fr.htm</t>
  </si>
  <si>
    <t>https://www.ecologique-solidaire.gouv.fr/sites/default/files/2019-07-Rapport-IRVE.pdf</t>
  </si>
  <si>
    <t>https://www.ecologique-solidaire.gouv.fr/sites/default/files/Th%C3%A9ma%20-%20Concept%20autoroute%20%C3%A9lectrique.pdf</t>
  </si>
  <si>
    <t>Valeurs résiduelles (en fonction de l'âge du véhicule)</t>
  </si>
  <si>
    <t>valeur résiduelle = a3 * x^3 + a2 * x² + a1 * x + a0</t>
  </si>
  <si>
    <t>a3</t>
  </si>
  <si>
    <t>a2</t>
  </si>
  <si>
    <t>a1</t>
  </si>
  <si>
    <t>a0</t>
  </si>
  <si>
    <t>Valeurs résiduelles (en fonction du kilométrage du véhicule)</t>
  </si>
  <si>
    <t>Abattement de la valeur résiduelle H2 face au diesel</t>
  </si>
  <si>
    <t>Modèle du véhicule (constructeur, nom commercial) :</t>
  </si>
  <si>
    <t>Sans remboursement TICPE</t>
  </si>
  <si>
    <t>Transport de personnes</t>
  </si>
  <si>
    <t>VP (berline) usage taxi</t>
  </si>
  <si>
    <t>Transport de marchandises</t>
  </si>
  <si>
    <t>EUR / unité</t>
  </si>
  <si>
    <t xml:space="preserve">https://www.douane.gouv.fr/demarche/demander-le-remboursement-partiel-de-la-ticpe-exploitant-de-taxi </t>
  </si>
  <si>
    <t>https://www.service-public.fr/professionnels-entreprises/vosdroits/F31222</t>
  </si>
  <si>
    <t>Panorama et évaluation des différentes filières d'autobus urbains (2019)</t>
  </si>
  <si>
    <t>Consommation (électricité réseau)</t>
  </si>
  <si>
    <t>Consommation d'électricité (réseau)</t>
  </si>
  <si>
    <t>Limite</t>
  </si>
  <si>
    <t>Mode de production de l'hydrogène</t>
  </si>
  <si>
    <t>Electrolyse</t>
  </si>
  <si>
    <t>Reformage de biogaz</t>
  </si>
  <si>
    <t>1\ Usages mobilité</t>
  </si>
  <si>
    <t>2\ Usages industrie et stationnaire</t>
  </si>
  <si>
    <t>Type d'usage hors mobilité</t>
  </si>
  <si>
    <t>Industrie</t>
  </si>
  <si>
    <t>Alimentation stationnaire</t>
  </si>
  <si>
    <t>Type d'usage</t>
  </si>
  <si>
    <t>Usage n°1</t>
  </si>
  <si>
    <t>Usage n°2</t>
  </si>
  <si>
    <t>Prospectif</t>
  </si>
  <si>
    <t>Chiffre d'affaire (k€)</t>
  </si>
  <si>
    <t>Usages mobilité (k€)</t>
  </si>
  <si>
    <t>Vente d'hydrogène (kg)</t>
  </si>
  <si>
    <t>Usages industrie et stationnaire (k€)</t>
  </si>
  <si>
    <t>Volume des ventes mobilité (t)</t>
  </si>
  <si>
    <t>Volume des ventes industrie &amp; stationnaire</t>
  </si>
  <si>
    <t>Montant des charges (k€)</t>
  </si>
  <si>
    <t>Subvention ADEME</t>
  </si>
  <si>
    <t>Autres subventions</t>
  </si>
  <si>
    <t>Distance entre le lieu de production et de distribution (km)</t>
  </si>
  <si>
    <t>Total mobilité</t>
  </si>
  <si>
    <t>Consommation diesel 
estimée (WLTC)</t>
  </si>
  <si>
    <t>Consommation élec du véhicule hydrogène hybride (WLTC)</t>
  </si>
  <si>
    <t>Consommation H2 du 
véhicule hydrogène hybride (WLTC)</t>
  </si>
  <si>
    <t>Panorama et évaluation des différentes filières d'autobus urbains (2019) ; AAP 2019</t>
  </si>
  <si>
    <t>Diesel : Renault Master fourgon 150ch ; http://www.ecomobiliste.ch/utilitaires-minibus/banque-de-donnees.html
Elec H2 : Calcul basé sur l'autonomie WLTP https://www.h2-mobile.fr/vehicules/utilitaire-hydrogene/renault-master-hydrogene/</t>
  </si>
  <si>
    <t>Diesel : Renault Kangoo Express 1,5 dCi 80ch ; http://www.ecomobiliste.ch/utilitaires-minibus/banque-de-donnees.html
Elec H2 : +25% de conso en passage NEDC--&gt;WLTP selon NExus (base autonomie 230km+140km NEDC).</t>
  </si>
  <si>
    <t>Consommation moyenne d'H2 (kg/100km)</t>
  </si>
  <si>
    <t>Coût diesel (en € HT)</t>
  </si>
  <si>
    <t>Coût H2 (en € HT)</t>
  </si>
  <si>
    <t>Electrolyse EnR</t>
  </si>
  <si>
    <t>Reformage de gaz naturel</t>
  </si>
  <si>
    <t>Mobilité</t>
  </si>
  <si>
    <t>Nom du consommateur</t>
  </si>
  <si>
    <t>Technologie de référence</t>
  </si>
  <si>
    <t>Distance entre le lieu de production et de consommation (km)</t>
  </si>
  <si>
    <t>Consommation d'H2 bas carbone ou renouvelable</t>
  </si>
  <si>
    <t>Industrie &amp; stationnaire</t>
  </si>
  <si>
    <t>Consommation d'H2 d'origine fossile évitée</t>
  </si>
  <si>
    <t>Pression de transport (le cas échéant)</t>
  </si>
  <si>
    <t>200 bars</t>
  </si>
  <si>
    <t>300 bars</t>
  </si>
  <si>
    <t>400 bars</t>
  </si>
  <si>
    <t>500 bars</t>
  </si>
  <si>
    <t>Emissions de CO2 du transport de l'H2 à</t>
  </si>
  <si>
    <t xml:space="preserve">Total des émissions de GES évitées : </t>
  </si>
  <si>
    <t>Total industrie et stationnaire</t>
  </si>
  <si>
    <t>Cellule à renseigner</t>
  </si>
  <si>
    <t>Prix de vente de l'H2 (en € HT /kg), non actualisé</t>
  </si>
  <si>
    <t>Précisez</t>
  </si>
  <si>
    <t>FEDER</t>
  </si>
  <si>
    <t>Choisir une valeur</t>
  </si>
  <si>
    <t>BP Distributeur seul</t>
  </si>
  <si>
    <t>BP Producteur seul</t>
  </si>
  <si>
    <t>BP Producteur &amp; Distributeur</t>
  </si>
  <si>
    <t>Hypothèses</t>
  </si>
  <si>
    <t>Electricité - Prix</t>
  </si>
  <si>
    <t>Electricité - Taux d'actualisation</t>
  </si>
  <si>
    <t>Eau - Prix</t>
  </si>
  <si>
    <t>Eau - Taux d'actualisation</t>
  </si>
  <si>
    <t>Date de début d'exploitation (année 1)</t>
  </si>
  <si>
    <t>Consommation moyenne d'H2 de référence (kg/100km)</t>
  </si>
  <si>
    <r>
      <t xml:space="preserve">Cellule à renseigner uniquement si la valeur de référence est nulle ou si l'opérateur dispose de données significativement différentes </t>
    </r>
    <r>
      <rPr>
        <b/>
        <sz val="12"/>
        <color theme="1" tint="4.9989318521683403E-2"/>
        <rFont val="Calibri"/>
        <family val="2"/>
        <scheme val="minor"/>
      </rPr>
      <t>(à justifier)</t>
    </r>
  </si>
  <si>
    <t>Hydrogène vendu - Taux d'actualisation</t>
  </si>
  <si>
    <t>Hydrogène vendu en station - Taux d'actualisation</t>
  </si>
  <si>
    <t>Opération &amp; Maintenance (k€)</t>
  </si>
  <si>
    <t>Autres charges d'exploitation (k€)</t>
  </si>
  <si>
    <t>Référence</t>
  </si>
  <si>
    <t>Travaux d'installation</t>
  </si>
  <si>
    <t>Borne de ravitaillement</t>
  </si>
  <si>
    <t>Amortissement des investissements :</t>
  </si>
  <si>
    <t>Achat (en kg)</t>
  </si>
  <si>
    <t>Oui</t>
  </si>
  <si>
    <t>Non</t>
  </si>
  <si>
    <t>Benne à Ordures Ménagères</t>
  </si>
  <si>
    <t>Autre véhicule (à préciser)</t>
  </si>
  <si>
    <t>Nombre</t>
  </si>
  <si>
    <t>Investissement (k€)</t>
  </si>
  <si>
    <t>Investissement initial (k€)</t>
  </si>
  <si>
    <t>Cellules à renseigner</t>
  </si>
  <si>
    <t>Cellule à renseigner uniquement si la valeur est nulle ou si l'opérateur dispose de données significativement différentes</t>
  </si>
  <si>
    <t>Autres (masse salariale, modification du dépôt)</t>
  </si>
  <si>
    <r>
      <rPr>
        <b/>
        <sz val="12"/>
        <color theme="1"/>
        <rFont val="Calibri"/>
        <family val="2"/>
        <scheme val="minor"/>
      </rPr>
      <t>Merci de remplir le(s) BP(s) correspondant(s) au mode de fonctionnement</t>
    </r>
    <r>
      <rPr>
        <sz val="12"/>
        <color theme="1"/>
        <rFont val="Calibri"/>
        <family val="2"/>
        <scheme val="minor"/>
      </rPr>
      <t xml:space="preserve">. Exemples : 
    - Un seul exploitant pour la production et distribution d'hydrogène               --&gt; </t>
    </r>
    <r>
      <rPr>
        <i/>
        <sz val="12"/>
        <color theme="1"/>
        <rFont val="Calibri"/>
        <family val="2"/>
        <scheme val="minor"/>
      </rPr>
      <t>Remplir BP Producteur &amp; Distributeur</t>
    </r>
    <r>
      <rPr>
        <sz val="12"/>
        <color theme="1"/>
        <rFont val="Calibri"/>
        <family val="2"/>
        <scheme val="minor"/>
      </rPr>
      <t xml:space="preserve">
    - Deux parties prenantes différentes gérent la production et la distribution --&gt; </t>
    </r>
    <r>
      <rPr>
        <i/>
        <sz val="12"/>
        <color theme="1"/>
        <rFont val="Calibri"/>
        <family val="2"/>
        <scheme val="minor"/>
      </rPr>
      <t>Remplir BP Producteur seul et BP Distributeur seul</t>
    </r>
  </si>
  <si>
    <r>
      <t xml:space="preserve">Cellule à renseigner uniquement si la valeur est nulle ou si l'opérateur dispose de données significativement différentes </t>
    </r>
    <r>
      <rPr>
        <b/>
        <sz val="12"/>
        <color theme="1" tint="4.9989318521683403E-2"/>
        <rFont val="Calibri"/>
        <family val="2"/>
        <scheme val="minor"/>
      </rPr>
      <t>(à justifier)</t>
    </r>
  </si>
  <si>
    <t>Business plan (BP)</t>
  </si>
  <si>
    <t>Usage n°11 :</t>
  </si>
  <si>
    <t>Usage n°12 :</t>
  </si>
  <si>
    <t>Usage n°13 :</t>
  </si>
  <si>
    <t>Usage n°14 :</t>
  </si>
  <si>
    <t>Usage n°15 :</t>
  </si>
  <si>
    <t>Usage n°16 :</t>
  </si>
  <si>
    <t>Usage n°17 :</t>
  </si>
  <si>
    <t>Usage n°18 :</t>
  </si>
  <si>
    <t>Usage n°19 :</t>
  </si>
  <si>
    <t>Usage n°20 :</t>
  </si>
  <si>
    <t>Coproduit (chlore-alcali)</t>
  </si>
  <si>
    <t>Emissions de CO2, source ACV 2020/Base Carbone</t>
  </si>
  <si>
    <t>Emissions de CO2, source ACV 2013</t>
  </si>
  <si>
    <t xml:space="preserve">Estimation </t>
  </si>
  <si>
    <t>Estimation</t>
  </si>
  <si>
    <t>Consommation annuelle nominale (en kg d'H2)</t>
  </si>
  <si>
    <t>Autres revenus (k€)</t>
  </si>
  <si>
    <t>(Détailler)</t>
  </si>
  <si>
    <t xml:space="preserve">Nombre d'usage mobilité déclarés : </t>
  </si>
  <si>
    <t xml:space="preserve">Nombre de TCO remplis : </t>
  </si>
  <si>
    <t>Location batterie, autres</t>
  </si>
  <si>
    <t>Emissions GES évitées</t>
  </si>
  <si>
    <t>Prix du carburant diesel en 2019/2020</t>
  </si>
  <si>
    <t>Prix référence 2019-2020</t>
  </si>
  <si>
    <t>Kilométrage annuel par véhicule</t>
  </si>
  <si>
    <t xml:space="preserve">Année de début d'exploitation </t>
  </si>
  <si>
    <t>Nombre de véhicule en demande de financement</t>
  </si>
  <si>
    <t>Nombre d'années d'utilisation du véhicule</t>
  </si>
  <si>
    <t>Aide ADEME</t>
  </si>
  <si>
    <t>Autres aides (bonus écologique, fonds européens, etc)</t>
  </si>
  <si>
    <t>Récapitulatif des dépenses liées aux infrastructures d'hydrogène</t>
  </si>
  <si>
    <r>
      <t xml:space="preserve">NOTES :
 - Le présent onglet comporte des tableaux de dépenses pour les 3 "piliers" de l'appel à projet : la production, l'acheminement et la distribution d'hydrogène. 
 - Ces tableaux sont </t>
    </r>
    <r>
      <rPr>
        <b/>
        <sz val="10"/>
        <rFont val="Calibri"/>
        <family val="2"/>
        <scheme val="minor"/>
      </rPr>
      <t xml:space="preserve">à remplir par le candidat en fonction de son positionnement sur tout ou partie de la chaîne. </t>
    </r>
    <r>
      <rPr>
        <sz val="10"/>
        <rFont val="Calibri"/>
        <family val="2"/>
        <scheme val="minor"/>
      </rPr>
      <t>Par exemple : si la candidature concerne la distribution, alors les tableaux qui concernent cette partie sont obligatoirement à remplir, et par conséquent, ceux pour la production et acheminement de ne sont pas.
 - Ces tableaux seront soumis à l'évaluation de la Région qui se réserve le droit d’ajuster le montant et la nature des dépenses éligibles</t>
    </r>
  </si>
  <si>
    <t xml:space="preserve">    </t>
  </si>
  <si>
    <t>Cases à renseigner</t>
  </si>
  <si>
    <t>Dépenses liées à la PRODUCTION d'hydrogène</t>
  </si>
  <si>
    <t>Dépenses éligibles</t>
  </si>
  <si>
    <r>
      <t xml:space="preserve">Description succincte
</t>
    </r>
    <r>
      <rPr>
        <b/>
        <sz val="10"/>
        <color theme="0"/>
        <rFont val="Calibri"/>
        <family val="2"/>
        <scheme val="minor"/>
      </rPr>
      <t>(caractéristiques, références, puissance…)</t>
    </r>
  </si>
  <si>
    <t>Coût €HT</t>
  </si>
  <si>
    <t xml:space="preserve">Production </t>
  </si>
  <si>
    <t>électrolyseur</t>
  </si>
  <si>
    <t>autre technologie (à préciser)</t>
  </si>
  <si>
    <t>contrôle/commande</t>
  </si>
  <si>
    <t>(autres à préciser)</t>
  </si>
  <si>
    <t>Périphériques amont</t>
  </si>
  <si>
    <t>raccordements</t>
  </si>
  <si>
    <t>convertisseurs</t>
  </si>
  <si>
    <t>traitement de l'eau</t>
  </si>
  <si>
    <t>Périphériques aval</t>
  </si>
  <si>
    <t>déshumidificateur</t>
  </si>
  <si>
    <t>purification</t>
  </si>
  <si>
    <t>compression</t>
  </si>
  <si>
    <t>stockage fixe sous pression</t>
  </si>
  <si>
    <t>Equipements de conditionnement</t>
  </si>
  <si>
    <t>bouteilles, cadres, cuves</t>
  </si>
  <si>
    <t>Equipements divers</t>
  </si>
  <si>
    <t>mesure, détecteurs et sécurité</t>
  </si>
  <si>
    <t>Etudes techniques dont ingénierie</t>
  </si>
  <si>
    <t>externalisées</t>
  </si>
  <si>
    <t>en interne</t>
  </si>
  <si>
    <t>Utilités (électricité, eau, autres…)</t>
  </si>
  <si>
    <t>Raccordement poste source</t>
  </si>
  <si>
    <t>génie civil, terrassement, VRD</t>
  </si>
  <si>
    <t>TOTAL DES DEPENSES ELIGIBLES</t>
  </si>
  <si>
    <t>Dépenses non éligibles</t>
  </si>
  <si>
    <t>(dépenses à préciser)</t>
  </si>
  <si>
    <t>TOTAL DEPENSES NON ELIGIBLES</t>
  </si>
  <si>
    <t>TOTAL DEPENSES POUR LA PRODUCTION</t>
  </si>
  <si>
    <r>
      <t>Dépenses liées à l'ACHEMINEMENT d'hydrogène</t>
    </r>
    <r>
      <rPr>
        <b/>
        <sz val="12"/>
        <color theme="1"/>
        <rFont val="Calibri"/>
        <family val="2"/>
        <scheme val="minor"/>
      </rPr>
      <t xml:space="preserve"> </t>
    </r>
    <r>
      <rPr>
        <sz val="12"/>
        <color theme="1"/>
        <rFont val="Calibri"/>
        <family val="2"/>
        <scheme val="minor"/>
      </rPr>
      <t>(entre le site de production et la station de distribution)</t>
    </r>
  </si>
  <si>
    <t>Equipements fixes de stockage</t>
  </si>
  <si>
    <t>buffers, réservoirs</t>
  </si>
  <si>
    <t>Equipements mobiles de stockage</t>
  </si>
  <si>
    <t>(à préciser)</t>
  </si>
  <si>
    <t>TOTAL DES DEPENSES NON ELIGIBLES</t>
  </si>
  <si>
    <t>TOTAL DEPENSES POUR L'ACHEMINEMENT</t>
  </si>
  <si>
    <t>Dépenses liées à la DISTRIBUTION d'hydrogène</t>
  </si>
  <si>
    <t>Coût €HT
station 1</t>
  </si>
  <si>
    <t>Coût €HT
station 2</t>
  </si>
  <si>
    <t>Coût €HT
station …</t>
  </si>
  <si>
    <t>borne, flexible</t>
  </si>
  <si>
    <t>interface utilisateurs</t>
  </si>
  <si>
    <t>Systèmes contrôle / commande</t>
  </si>
  <si>
    <t>contrôle / commande</t>
  </si>
  <si>
    <t>Equipements périphériques</t>
  </si>
  <si>
    <t>raccordements, convertisseurs</t>
  </si>
  <si>
    <t>Solution transitoire (optionnel)</t>
  </si>
  <si>
    <t>équipements</t>
  </si>
  <si>
    <t>location</t>
  </si>
  <si>
    <t>Description succincte
(référence, fournisseur, puissance…)</t>
  </si>
  <si>
    <t xml:space="preserve">TOTAL DEPENSES POUR LA DISTRIBUTION </t>
  </si>
  <si>
    <t>Total des dépenses</t>
  </si>
  <si>
    <t>TOTAL DEPENSES DU PROJET</t>
  </si>
  <si>
    <t>Récapitulatif des dépenses liées à l'usage d'hydrogène</t>
  </si>
  <si>
    <r>
      <t xml:space="preserve">NOTES :
 - Ces tableaux sont </t>
    </r>
    <r>
      <rPr>
        <b/>
        <sz val="10"/>
        <rFont val="Calibri"/>
        <family val="2"/>
        <scheme val="minor"/>
      </rPr>
      <t xml:space="preserve">à remplir par le candidat en fonction du type d'usage de son projet. </t>
    </r>
    <r>
      <rPr>
        <sz val="10"/>
        <rFont val="Calibri"/>
        <family val="2"/>
        <scheme val="minor"/>
      </rPr>
      <t>Par exemple : si la candidature concerne des usages mobilité et stationnaire, alors les tableaux qui concernent ces parties sont obligatoirement à remplir, et par conséquent, celui pour l'industrie ne l'est pas.
 - Ces tableaux seront soumis à l'évaluation de la Région qui se réserve le droit d’ajuster le montant et la nature des dépenses éligibles</t>
    </r>
  </si>
  <si>
    <t>Dépenses liées à des usages de mobilité</t>
  </si>
  <si>
    <r>
      <t xml:space="preserve">Description succincte
</t>
    </r>
    <r>
      <rPr>
        <b/>
        <sz val="10"/>
        <color theme="0"/>
        <rFont val="Calibri"/>
        <family val="2"/>
        <scheme val="minor"/>
      </rPr>
      <t>(caractéristiques, marque, référence, puissance…)</t>
    </r>
  </si>
  <si>
    <t>Coût total par type de véhicule (€HT)</t>
  </si>
  <si>
    <t>Fourgonnette (VUL PTAC &lt; 2,5t)</t>
  </si>
  <si>
    <t>Fourgon (VUL PTAC &gt; 2,5t)</t>
  </si>
  <si>
    <t>Bus standard (12m)</t>
  </si>
  <si>
    <t>Bus articulé (18m)</t>
  </si>
  <si>
    <t>Poids-lourd (PTAC &lt; 3,5t)</t>
  </si>
  <si>
    <t>Poids-lourd (PTAC entre 3,5t et &lt; 19t)</t>
  </si>
  <si>
    <t>Poids-lourd (PTAC 19t)</t>
  </si>
  <si>
    <t>Poids-lourd (PTAC 44t)</t>
  </si>
  <si>
    <t>TOTAL DEPENSES USAGE MOBILITE</t>
  </si>
  <si>
    <t>Dépenses liées à des usages stationnaires</t>
  </si>
  <si>
    <t>TOTAL DEPENSES USAGE STATIONNAIRE</t>
  </si>
  <si>
    <t>Dépenses liées à des usages industriels</t>
  </si>
  <si>
    <t>TOTAL DEPENSES USAGE INDUSTRIEL</t>
  </si>
  <si>
    <t>TOTAL DEPENSES POUR LES USAGES DU PROJET</t>
  </si>
  <si>
    <t>INTITULE PROJET:</t>
  </si>
  <si>
    <t>NOM DU DEMANDEUR :</t>
  </si>
  <si>
    <t>ANNEE :</t>
  </si>
  <si>
    <t>PLAN DE FINANCEMENT</t>
  </si>
  <si>
    <t xml:space="preserve">Les charges sont présentées (enlever la mention inutile) : TTC ou HT   </t>
  </si>
  <si>
    <t>Si l'organisme est assujetti à la TVA pour l'opération, les dépenses doivent être présentées HT.</t>
  </si>
  <si>
    <t>A LIRE ATTENTIVEMENT :</t>
  </si>
  <si>
    <t>La colonne relative à la détermination des dépenses éligibles ne doit pas être complétée par le demandeur. Elle sera complétée par le service instructeur. Le total doit être équilibré entre les charges et les produits.
NE REMPLIR QUE LES CASES BLANCHES , LES TOTAUX SE CALCULERONT AUTOMATIQUEMENT</t>
  </si>
  <si>
    <t>CHARGES</t>
  </si>
  <si>
    <t>PRODUITS</t>
  </si>
  <si>
    <t>Description</t>
  </si>
  <si>
    <t>Montant des charges</t>
  </si>
  <si>
    <t>Origine</t>
  </si>
  <si>
    <t>Financement total</t>
  </si>
  <si>
    <t>Subvention obtenue oui/non</t>
  </si>
  <si>
    <t>Acquisitions foncières et immobilières</t>
  </si>
  <si>
    <t>Subvention Région</t>
  </si>
  <si>
    <t>Direction Transition Energétique et Ecologique</t>
  </si>
  <si>
    <t>Etat</t>
  </si>
  <si>
    <t>Travaux</t>
  </si>
  <si>
    <t>Europe</t>
  </si>
  <si>
    <t>FSE</t>
  </si>
  <si>
    <t>FEADER</t>
  </si>
  <si>
    <t>Matériel / équipement</t>
  </si>
  <si>
    <t>CEF</t>
  </si>
  <si>
    <t>Départements</t>
  </si>
  <si>
    <t>Communes et interco</t>
  </si>
  <si>
    <t>Etudes</t>
  </si>
  <si>
    <t>Autres organismes publics</t>
  </si>
  <si>
    <t xml:space="preserve">Financements externes </t>
  </si>
  <si>
    <t>Autres dépenses</t>
  </si>
  <si>
    <t>précisez</t>
  </si>
  <si>
    <t>Autres produits</t>
  </si>
  <si>
    <t>Autofinancement</t>
  </si>
  <si>
    <t>Recettes générées</t>
  </si>
  <si>
    <t>Autres autofinancements</t>
  </si>
  <si>
    <t xml:space="preserve">TOTAL CHARGES </t>
  </si>
  <si>
    <t>TOTAL PRODUITS</t>
  </si>
  <si>
    <t xml:space="preserve">Fait à </t>
  </si>
  <si>
    <t>Le</t>
  </si>
  <si>
    <t>Cachet et signature</t>
  </si>
  <si>
    <t>Calendrier d'exécution du projet</t>
  </si>
  <si>
    <t>NOTES :
 - Il est attendu de préciser dans ce calendrier les délais pour : les études techniques, la consultation d'entreprises/fournisseurs, les délais de livraison du matériel, la phase d'autorisations (préciser lesquels en incluant le délais d'instruction), les travaux, les tests de mise en service et la mise en service.</t>
  </si>
  <si>
    <t xml:space="preserve">Forme libre de calendrier à établir par le candidat </t>
  </si>
  <si>
    <t xml:space="preserve">Structure du document </t>
  </si>
  <si>
    <t>1.</t>
  </si>
  <si>
    <t>2.</t>
  </si>
  <si>
    <t>Plan de financement</t>
  </si>
  <si>
    <t>Explication du montage financier prévu</t>
  </si>
  <si>
    <t>3.</t>
  </si>
  <si>
    <t>4.</t>
  </si>
  <si>
    <t>Calendrier d'exécution</t>
  </si>
  <si>
    <t xml:space="preserve">Description et planification des différentes phases du projet (études, autorisation, travaux, investissements…) </t>
  </si>
  <si>
    <t>Dépenses Infrastrucutres</t>
  </si>
  <si>
    <t>Dépenses Usages</t>
  </si>
  <si>
    <t>BP Infrastructures</t>
  </si>
  <si>
    <t>TCO Véhicules</t>
  </si>
  <si>
    <t>GES évités</t>
  </si>
  <si>
    <t>Liste détaillée des dépenses prévues pour les volets de production et/ou approvisionnement et/ou distribution d'hydrogène renouvelable, selon le positionnement du porteur de projet</t>
  </si>
  <si>
    <t>Liste détaillée des dépenses prévues pour les différents types d'usages</t>
  </si>
  <si>
    <t xml:space="preserve">Définition des consommations en hydrogène des différents usages </t>
  </si>
  <si>
    <t>Obtention du Taux de Rentabilité Interne (TRI) du projet une fois les données renseignées.</t>
  </si>
  <si>
    <t>Calcul du Coût Total de Possesion des véhicules</t>
  </si>
  <si>
    <t>Calcul des bénéfices environnementaux</t>
  </si>
  <si>
    <r>
      <rPr>
        <b/>
        <sz val="18"/>
        <color rgb="FFC00000"/>
        <rFont val="Calibri"/>
        <family val="2"/>
        <scheme val="minor"/>
      </rPr>
      <t xml:space="preserve">Appel à projets 
« Des usages à la production d’hydrogène » 
</t>
    </r>
    <r>
      <rPr>
        <sz val="14"/>
        <color rgb="FFC00000"/>
        <rFont val="Calibri"/>
        <family val="2"/>
        <scheme val="minor"/>
      </rPr>
      <t xml:space="preserve">
</t>
    </r>
    <r>
      <rPr>
        <b/>
        <sz val="16"/>
        <color rgb="FFC00000"/>
        <rFont val="Calibri"/>
        <family val="2"/>
        <scheme val="minor"/>
      </rPr>
      <t>Volet financier</t>
    </r>
  </si>
  <si>
    <t xml:space="preserve">  </t>
  </si>
  <si>
    <t>Coût unitaire par véhicule (€HT)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</si>
</sst>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8" formatCode="#,##0.00\ &quot;€&quot;;[Red]\-#,##0.00\ &quot;€&quot;"/>
    <numFmt numFmtId="44" formatCode="_-* #,##0.00\ &quot;€&quot;_-;\-* #,##0.00\ &quot;€&quot;_-;_-* &quot;-&quot;??\ &quot;€&quot;_-;_-@_-"/>
    <numFmt numFmtId="43" formatCode="_-* #,##0.00\ _€_-;\-* #,##0.00\ _€_-;_-* &quot;-&quot;??\ _€_-;_-@_-"/>
    <numFmt numFmtId="164" formatCode="0.0"/>
    <numFmt numFmtId="165" formatCode="#&quot; €/an&quot;"/>
    <numFmt numFmtId="166" formatCode="#0.00&quot; €/km&quot;"/>
    <numFmt numFmtId="167" formatCode="#,##0&quot; kWh/100km&quot;"/>
    <numFmt numFmtId="168" formatCode="#,##0.0&quot; L/100km&quot;"/>
    <numFmt numFmtId="169" formatCode="#,##0&quot; L/100km&quot;"/>
    <numFmt numFmtId="170" formatCode="#,##0\ &quot;€&quot;"/>
    <numFmt numFmtId="171" formatCode="#,##0&quot; km&quot;"/>
    <numFmt numFmtId="172" formatCode="#,##0&quot; kgH2/an&quot;"/>
    <numFmt numFmtId="173" formatCode="#,##0&quot; L&quot;"/>
    <numFmt numFmtId="174" formatCode="#,##0&quot; km/an&quot;"/>
    <numFmt numFmtId="175" formatCode="#,##0&quot; kWh/an&quot;"/>
    <numFmt numFmtId="176" formatCode="#,##0.0&quot; kgCO2/kgH2&quot;"/>
    <numFmt numFmtId="177" formatCode="#,##0.00&quot; kgCO2/L&quot;"/>
    <numFmt numFmtId="178" formatCode="#,##0.0000&quot; kgCO2/kWh&quot;"/>
    <numFmt numFmtId="179" formatCode="#,##0.00&quot; € HT/kg&quot;"/>
    <numFmt numFmtId="180" formatCode="#,##0&quot; kg&quot;"/>
    <numFmt numFmtId="181" formatCode="#,##0.0&quot; kg/100km&quot;"/>
    <numFmt numFmtId="182" formatCode="#,##0&quot; tCO2/an&quot;"/>
    <numFmt numFmtId="183" formatCode="_-* #,##0\ &quot;€&quot;_-;\-* #,##0\ &quot;€&quot;_-;_-* &quot;-&quot;??\ &quot;€&quot;_-;_-@_-"/>
    <numFmt numFmtId="184" formatCode="#,##0.00\ &quot;€&quot;"/>
    <numFmt numFmtId="185" formatCode="0.0%"/>
    <numFmt numFmtId="186" formatCode="&quot;Durée &quot;#,##0&quot; ans&quot;"/>
    <numFmt numFmtId="187" formatCode="&quot;Total : &quot;#,##0&quot; k€&quot;"/>
    <numFmt numFmtId="188" formatCode="#,##0.00&quot; kgCO2/kgH2/100km&quot;"/>
    <numFmt numFmtId="189" formatCode="#,##0.0&quot; tCO2/an&quot;"/>
    <numFmt numFmtId="190" formatCode="#,##0.00&quot; tCO2/an&quot;"/>
    <numFmt numFmtId="191" formatCode="#,##0.00&quot; €/MWh&quot;"/>
    <numFmt numFmtId="192" formatCode="#,##0.00&quot; €/m3&quot;"/>
    <numFmt numFmtId="193" formatCode="#,##0&quot; €&quot;"/>
    <numFmt numFmtId="194" formatCode="_-* #,##0\ _€_-;\-* #,##0\ _€_-;_-* &quot;-&quot;??\ _€_-;_-@_-"/>
  </numFmts>
  <fonts count="61"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4"/>
      <color theme="1"/>
      <name val="Calibri"/>
      <family val="2"/>
      <scheme val="minor"/>
    </font>
    <font>
      <b/>
      <sz val="9"/>
      <color indexed="81"/>
      <name val="Tahoma"/>
      <family val="2"/>
    </font>
    <font>
      <u/>
      <sz val="11"/>
      <color theme="10"/>
      <name val="Calibri"/>
      <family val="2"/>
      <scheme val="minor"/>
    </font>
    <font>
      <sz val="10"/>
      <name val="Arial"/>
      <family val="2"/>
    </font>
    <font>
      <b/>
      <sz val="14"/>
      <name val="Arial"/>
      <family val="2"/>
    </font>
    <font>
      <b/>
      <sz val="10"/>
      <color theme="1"/>
      <name val="Calibri"/>
      <family val="2"/>
      <scheme val="minor"/>
    </font>
    <font>
      <b/>
      <sz val="11"/>
      <name val="Calibri"/>
      <family val="2"/>
      <scheme val="minor"/>
    </font>
    <font>
      <sz val="11"/>
      <color rgb="FFFF0000"/>
      <name val="Calibri"/>
      <family val="2"/>
      <scheme val="minor"/>
    </font>
    <font>
      <sz val="11"/>
      <color rgb="FFC00000"/>
      <name val="Calibri"/>
      <family val="2"/>
      <scheme val="minor"/>
    </font>
    <font>
      <sz val="11"/>
      <name val="Calibri"/>
      <family val="2"/>
      <scheme val="minor"/>
    </font>
    <font>
      <b/>
      <sz val="10"/>
      <name val="Calibri"/>
      <family val="2"/>
      <scheme val="minor"/>
    </font>
    <font>
      <b/>
      <sz val="10"/>
      <name val="Arial"/>
      <family val="2"/>
    </font>
    <font>
      <sz val="11"/>
      <color theme="10"/>
      <name val="Calibri"/>
      <family val="2"/>
      <scheme val="minor"/>
    </font>
    <font>
      <sz val="11"/>
      <color indexed="8"/>
      <name val="Calibri"/>
      <family val="2"/>
    </font>
    <font>
      <b/>
      <sz val="14"/>
      <name val="Calibri"/>
      <family val="2"/>
      <scheme val="minor"/>
    </font>
    <font>
      <b/>
      <sz val="11"/>
      <color rgb="FFFF0000"/>
      <name val="Calibri"/>
      <family val="2"/>
      <scheme val="minor"/>
    </font>
    <font>
      <sz val="10"/>
      <name val="Calibri"/>
      <family val="2"/>
      <scheme val="minor"/>
    </font>
    <font>
      <sz val="10"/>
      <color theme="1"/>
      <name val="Calibri"/>
      <family val="2"/>
      <scheme val="minor"/>
    </font>
    <font>
      <sz val="11"/>
      <color theme="0"/>
      <name val="Calibri"/>
      <family val="2"/>
      <scheme val="minor"/>
    </font>
    <font>
      <sz val="9"/>
      <color indexed="81"/>
      <name val="Tahoma"/>
      <family val="2"/>
    </font>
    <font>
      <b/>
      <sz val="11"/>
      <color rgb="FFC00000"/>
      <name val="Calibri"/>
      <family val="2"/>
      <scheme val="minor"/>
    </font>
    <font>
      <b/>
      <u/>
      <sz val="11"/>
      <color theme="1"/>
      <name val="Calibri"/>
      <family val="2"/>
      <scheme val="minor"/>
    </font>
    <font>
      <sz val="12"/>
      <color theme="1"/>
      <name val="Calibri"/>
      <family val="2"/>
      <scheme val="minor"/>
    </font>
    <font>
      <b/>
      <sz val="12"/>
      <color theme="1" tint="4.9989318521683403E-2"/>
      <name val="Calibri"/>
      <family val="2"/>
      <scheme val="minor"/>
    </font>
    <font>
      <sz val="11"/>
      <name val="Arial"/>
      <family val="2"/>
    </font>
    <font>
      <b/>
      <sz val="11"/>
      <color indexed="81"/>
      <name val="Tahoma"/>
      <family val="2"/>
    </font>
    <font>
      <b/>
      <sz val="12"/>
      <color theme="1"/>
      <name val="Calibri"/>
      <family val="2"/>
      <scheme val="minor"/>
    </font>
    <font>
      <b/>
      <sz val="12"/>
      <color theme="0"/>
      <name val="Calibri"/>
      <family val="2"/>
      <scheme val="minor"/>
    </font>
    <font>
      <i/>
      <sz val="12"/>
      <color theme="1"/>
      <name val="Calibri"/>
      <family val="2"/>
      <scheme val="minor"/>
    </font>
    <font>
      <sz val="12"/>
      <color theme="1" tint="4.9989318521683403E-2"/>
      <name val="Calibri"/>
      <family val="2"/>
      <scheme val="minor"/>
    </font>
    <font>
      <b/>
      <sz val="9"/>
      <color indexed="81"/>
      <name val="Tahoma"/>
      <charset val="1"/>
    </font>
    <font>
      <sz val="11"/>
      <color theme="2"/>
      <name val="Calibri"/>
      <family val="2"/>
      <scheme val="minor"/>
    </font>
    <font>
      <b/>
      <sz val="12"/>
      <color rgb="FFFF0000"/>
      <name val="Calibri"/>
      <family val="2"/>
      <scheme val="minor"/>
    </font>
    <font>
      <i/>
      <sz val="11"/>
      <color rgb="FF7F7F7F"/>
      <name val="Calibri"/>
      <family val="2"/>
      <scheme val="minor"/>
    </font>
    <font>
      <b/>
      <sz val="22"/>
      <name val="Calibri"/>
      <family val="2"/>
      <scheme val="minor"/>
    </font>
    <font>
      <sz val="22"/>
      <name val="Calibri"/>
      <family val="2"/>
      <scheme val="minor"/>
    </font>
    <font>
      <b/>
      <sz val="22"/>
      <color rgb="FFFF0000"/>
      <name val="Calibri"/>
      <family val="2"/>
      <scheme val="minor"/>
    </font>
    <font>
      <sz val="16"/>
      <color theme="1"/>
      <name val="Calibri"/>
      <family val="2"/>
      <scheme val="minor"/>
    </font>
    <font>
      <b/>
      <sz val="16"/>
      <color theme="1"/>
      <name val="Calibri"/>
      <family val="2"/>
      <scheme val="minor"/>
    </font>
    <font>
      <b/>
      <sz val="10"/>
      <color theme="0"/>
      <name val="Calibri"/>
      <family val="2"/>
      <scheme val="minor"/>
    </font>
    <font>
      <sz val="10"/>
      <name val="Verdana"/>
      <family val="2"/>
    </font>
    <font>
      <b/>
      <sz val="10"/>
      <name val="Verdana"/>
      <family val="2"/>
    </font>
    <font>
      <b/>
      <sz val="14"/>
      <name val="Verdana"/>
      <family val="2"/>
    </font>
    <font>
      <sz val="10"/>
      <color indexed="9"/>
      <name val="Verdana"/>
      <family val="2"/>
    </font>
    <font>
      <i/>
      <sz val="10"/>
      <color indexed="23"/>
      <name val="Verdana"/>
      <family val="2"/>
    </font>
    <font>
      <b/>
      <i/>
      <sz val="10"/>
      <name val="Verdana"/>
      <family val="2"/>
    </font>
    <font>
      <i/>
      <sz val="10"/>
      <name val="Verdana"/>
      <family val="2"/>
    </font>
    <font>
      <b/>
      <sz val="10"/>
      <color indexed="9"/>
      <name val="Verdana"/>
      <family val="2"/>
    </font>
    <font>
      <b/>
      <sz val="10"/>
      <color theme="1"/>
      <name val="Verdana"/>
      <family val="2"/>
    </font>
    <font>
      <b/>
      <sz val="10"/>
      <color theme="0"/>
      <name val="Verdana"/>
      <family val="2"/>
    </font>
    <font>
      <i/>
      <sz val="12"/>
      <color rgb="FF000000"/>
      <name val="Calibri"/>
      <family val="2"/>
      <charset val="1"/>
    </font>
    <font>
      <sz val="14"/>
      <color rgb="FFC00000"/>
      <name val="Calibri"/>
      <family val="2"/>
      <scheme val="minor"/>
    </font>
    <font>
      <b/>
      <sz val="18"/>
      <color rgb="FFC00000"/>
      <name val="Calibri"/>
      <family val="2"/>
      <scheme val="minor"/>
    </font>
    <font>
      <b/>
      <sz val="16"/>
      <color rgb="FFC00000"/>
      <name val="Calibri"/>
      <family val="2"/>
      <scheme val="minor"/>
    </font>
    <font>
      <b/>
      <sz val="12"/>
      <color rgb="FF000000"/>
      <name val="Calibri"/>
      <family val="2"/>
      <scheme val="minor"/>
    </font>
    <font>
      <b/>
      <sz val="12"/>
      <name val="Calibri"/>
      <family val="2"/>
      <scheme val="minor"/>
    </font>
    <font>
      <sz val="12"/>
      <color theme="0"/>
      <name val="Calibri"/>
      <family val="2"/>
      <scheme val="minor"/>
    </font>
  </fonts>
  <fills count="26">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rgb="FFFF0000"/>
        <bgColor indexed="64"/>
      </patternFill>
    </fill>
    <fill>
      <patternFill patternType="solid">
        <fgColor theme="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6600"/>
        <bgColor indexed="64"/>
      </patternFill>
    </fill>
    <fill>
      <patternFill patternType="solid">
        <fgColor rgb="FFDA0000"/>
        <bgColor indexed="64"/>
      </patternFill>
    </fill>
    <fill>
      <patternFill patternType="solid">
        <fgColor indexed="60"/>
        <bgColor indexed="25"/>
      </patternFill>
    </fill>
    <fill>
      <patternFill patternType="solid">
        <fgColor indexed="9"/>
        <bgColor indexed="26"/>
      </patternFill>
    </fill>
    <fill>
      <patternFill patternType="solid">
        <fgColor indexed="23"/>
        <bgColor indexed="55"/>
      </patternFill>
    </fill>
    <fill>
      <patternFill patternType="solid">
        <fgColor indexed="55"/>
        <bgColor indexed="23"/>
      </patternFill>
    </fill>
    <fill>
      <patternFill patternType="solid">
        <fgColor indexed="22"/>
        <bgColor indexed="31"/>
      </patternFill>
    </fill>
    <fill>
      <patternFill patternType="solid">
        <fgColor theme="0" tint="-0.249977111117893"/>
        <bgColor indexed="64"/>
      </patternFill>
    </fill>
    <fill>
      <patternFill patternType="solid">
        <fgColor theme="0" tint="-0.34998626667073579"/>
        <bgColor indexed="23"/>
      </patternFill>
    </fill>
    <fill>
      <patternFill patternType="solid">
        <fgColor theme="0" tint="-0.34998626667073579"/>
        <bgColor indexed="64"/>
      </patternFill>
    </fill>
    <fill>
      <patternFill patternType="solid">
        <fgColor rgb="FFDDDDDD"/>
        <bgColor indexed="64"/>
      </patternFill>
    </fill>
    <fill>
      <patternFill patternType="solid">
        <fgColor rgb="FFC00000"/>
        <bgColor indexed="23"/>
      </patternFill>
    </fill>
    <fill>
      <patternFill patternType="solid">
        <fgColor rgb="FFFFFFFF"/>
        <bgColor rgb="FFE7E6E6"/>
      </patternFill>
    </fill>
    <fill>
      <patternFill patternType="solid">
        <fgColor theme="7" tint="0.79998168889431442"/>
        <bgColor rgb="FFE7E6E6"/>
      </patternFill>
    </fill>
  </fills>
  <borders count="2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auto="1"/>
      </left>
      <right style="thin">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thin">
        <color auto="1"/>
      </right>
      <top style="hair">
        <color auto="1"/>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top/>
      <bottom style="thin">
        <color auto="1"/>
      </bottom>
      <diagonal/>
    </border>
    <border>
      <left style="thin">
        <color auto="1"/>
      </left>
      <right style="hair">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style="thin">
        <color auto="1"/>
      </left>
      <right style="thin">
        <color auto="1"/>
      </right>
      <top style="hair">
        <color indexed="64"/>
      </top>
      <bottom style="thin">
        <color auto="1"/>
      </bottom>
      <diagonal/>
    </border>
    <border>
      <left style="thin">
        <color auto="1"/>
      </left>
      <right style="thin">
        <color auto="1"/>
      </right>
      <top style="thin">
        <color auto="1"/>
      </top>
      <bottom style="hair">
        <color indexed="64"/>
      </bottom>
      <diagonal/>
    </border>
    <border>
      <left style="thin">
        <color auto="1"/>
      </left>
      <right/>
      <top style="hair">
        <color indexed="64"/>
      </top>
      <bottom style="thin">
        <color auto="1"/>
      </bottom>
      <diagonal/>
    </border>
    <border>
      <left/>
      <right style="thin">
        <color auto="1"/>
      </right>
      <top style="hair">
        <color indexed="64"/>
      </top>
      <bottom style="thin">
        <color auto="1"/>
      </bottom>
      <diagonal/>
    </border>
    <border>
      <left/>
      <right style="thin">
        <color auto="1"/>
      </right>
      <top style="thin">
        <color auto="1"/>
      </top>
      <bottom style="hair">
        <color auto="1"/>
      </bottom>
      <diagonal/>
    </border>
    <border>
      <left style="hair">
        <color auto="1"/>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auto="1"/>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hair">
        <color indexed="64"/>
      </top>
      <bottom style="thin">
        <color indexed="64"/>
      </bottom>
      <diagonal/>
    </border>
    <border>
      <left style="hair">
        <color auto="1"/>
      </left>
      <right/>
      <top style="thin">
        <color auto="1"/>
      </top>
      <bottom style="hair">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auto="1"/>
      </left>
      <right style="hair">
        <color auto="1"/>
      </right>
      <top style="thin">
        <color indexed="64"/>
      </top>
      <bottom/>
      <diagonal/>
    </border>
    <border>
      <left style="hair">
        <color auto="1"/>
      </left>
      <right style="hair">
        <color auto="1"/>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2" tint="-0.24994659260841701"/>
      </left>
      <right/>
      <top style="dashed">
        <color theme="2" tint="-0.24994659260841701"/>
      </top>
      <bottom style="dashed">
        <color theme="2" tint="-0.24994659260841701"/>
      </bottom>
      <diagonal/>
    </border>
    <border>
      <left/>
      <right/>
      <top style="dashed">
        <color theme="2" tint="-0.24994659260841701"/>
      </top>
      <bottom style="dashed">
        <color theme="2" tint="-0.24994659260841701"/>
      </bottom>
      <diagonal/>
    </border>
    <border>
      <left/>
      <right style="dashed">
        <color theme="2" tint="-0.24994659260841701"/>
      </right>
      <top style="dashed">
        <color theme="2" tint="-0.24994659260841701"/>
      </top>
      <bottom style="dashed">
        <color theme="2" tint="-0.2499465926084170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thin">
        <color auto="1"/>
      </left>
      <right/>
      <top style="medium">
        <color indexed="8"/>
      </top>
      <bottom style="medium">
        <color indexed="8"/>
      </bottom>
      <diagonal/>
    </border>
    <border>
      <left style="thin">
        <color auto="1"/>
      </left>
      <right style="medium">
        <color indexed="8"/>
      </right>
      <top style="medium">
        <color indexed="8"/>
      </top>
      <bottom style="medium">
        <color indexed="8"/>
      </bottom>
      <diagonal/>
    </border>
    <border>
      <left style="medium">
        <color auto="1"/>
      </left>
      <right style="thin">
        <color indexed="64"/>
      </right>
      <top style="medium">
        <color auto="1"/>
      </top>
      <bottom style="medium">
        <color auto="1"/>
      </bottom>
      <diagonal/>
    </border>
    <border>
      <left/>
      <right/>
      <top style="medium">
        <color auto="1"/>
      </top>
      <bottom style="medium">
        <color auto="1"/>
      </bottom>
      <diagonal/>
    </border>
    <border>
      <left style="thin">
        <color indexed="64"/>
      </left>
      <right style="medium">
        <color indexed="64"/>
      </right>
      <top style="medium">
        <color auto="1"/>
      </top>
      <bottom style="medium">
        <color auto="1"/>
      </bottom>
      <diagonal/>
    </border>
    <border>
      <left style="medium">
        <color indexed="8"/>
      </left>
      <right style="thin">
        <color indexed="8"/>
      </right>
      <top style="medium">
        <color indexed="8"/>
      </top>
      <bottom style="thin">
        <color indexed="8"/>
      </bottom>
      <diagonal/>
    </border>
    <border>
      <left/>
      <right/>
      <top style="medium">
        <color indexed="8"/>
      </top>
      <bottom/>
      <diagonal/>
    </border>
    <border>
      <left style="thin">
        <color auto="1"/>
      </left>
      <right/>
      <top style="medium">
        <color indexed="8"/>
      </top>
      <bottom style="thin">
        <color indexed="8"/>
      </bottom>
      <diagonal/>
    </border>
    <border>
      <left style="thin">
        <color auto="1"/>
      </left>
      <right style="medium">
        <color indexed="8"/>
      </right>
      <top style="medium">
        <color indexed="8"/>
      </top>
      <bottom style="thin">
        <color indexed="8"/>
      </bottom>
      <diagonal/>
    </border>
    <border>
      <left style="medium">
        <color auto="1"/>
      </left>
      <right style="thin">
        <color indexed="64"/>
      </right>
      <top/>
      <bottom/>
      <diagonal/>
    </border>
    <border>
      <left style="thin">
        <color auto="1"/>
      </left>
      <right style="medium">
        <color indexed="64"/>
      </right>
      <top/>
      <bottom style="thin">
        <color auto="1"/>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medium">
        <color auto="1"/>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medium">
        <color auto="1"/>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medium">
        <color auto="1"/>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medium">
        <color auto="1"/>
      </left>
      <right style="thin">
        <color indexed="64"/>
      </right>
      <top style="thin">
        <color indexed="8"/>
      </top>
      <bottom style="thin">
        <color indexed="8"/>
      </bottom>
      <diagonal/>
    </border>
    <border>
      <left/>
      <right/>
      <top/>
      <bottom style="thin">
        <color indexed="8"/>
      </bottom>
      <diagonal/>
    </border>
    <border>
      <left style="thin">
        <color indexed="64"/>
      </left>
      <right style="medium">
        <color indexed="64"/>
      </right>
      <top style="thin">
        <color auto="1"/>
      </top>
      <bottom style="thin">
        <color auto="1"/>
      </bottom>
      <diagonal/>
    </border>
    <border>
      <left style="medium">
        <color indexed="8"/>
      </left>
      <right style="thin">
        <color indexed="8"/>
      </right>
      <top style="thin">
        <color indexed="8"/>
      </top>
      <bottom style="thin">
        <color indexed="8"/>
      </bottom>
      <diagonal/>
    </border>
    <border>
      <left style="medium">
        <color auto="1"/>
      </left>
      <right style="thin">
        <color indexed="64"/>
      </right>
      <top style="thin">
        <color auto="1"/>
      </top>
      <bottom style="thin">
        <color auto="1"/>
      </bottom>
      <diagonal/>
    </border>
    <border>
      <left/>
      <right/>
      <top style="thin">
        <color indexed="8"/>
      </top>
      <bottom style="thin">
        <color auto="1"/>
      </bottom>
      <diagonal/>
    </border>
    <border>
      <left style="thin">
        <color indexed="64"/>
      </left>
      <right/>
      <top style="thin">
        <color indexed="64"/>
      </top>
      <bottom style="thin">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medium">
        <color auto="1"/>
      </left>
      <right style="thin">
        <color indexed="64"/>
      </right>
      <top style="thin">
        <color auto="1"/>
      </top>
      <bottom style="thin">
        <color auto="1"/>
      </bottom>
      <diagonal/>
    </border>
    <border>
      <left/>
      <right/>
      <top style="thin">
        <color auto="1"/>
      </top>
      <bottom style="thin">
        <color auto="1"/>
      </bottom>
      <diagonal/>
    </border>
    <border>
      <left style="thin">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8"/>
      </left>
      <right style="thin">
        <color indexed="8"/>
      </right>
      <top style="thin">
        <color indexed="8"/>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bottom/>
      <diagonal/>
    </border>
    <border>
      <left style="thin">
        <color indexed="8"/>
      </left>
      <right style="thin">
        <color auto="1"/>
      </right>
      <top style="thin">
        <color indexed="8"/>
      </top>
      <bottom style="thin">
        <color indexed="8"/>
      </bottom>
      <diagonal/>
    </border>
    <border>
      <left style="thin">
        <color auto="1"/>
      </left>
      <right style="medium">
        <color indexed="8"/>
      </right>
      <top style="thin">
        <color indexed="8"/>
      </top>
      <bottom style="thin">
        <color auto="1"/>
      </bottom>
      <diagonal/>
    </border>
    <border>
      <left style="medium">
        <color indexed="64"/>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style="thin">
        <color auto="1"/>
      </left>
      <right style="medium">
        <color indexed="8"/>
      </right>
      <top style="thin">
        <color indexed="8"/>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thin">
        <color auto="1"/>
      </left>
      <right style="medium">
        <color indexed="8"/>
      </right>
      <top style="thin">
        <color indexed="8"/>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8"/>
      </bottom>
      <diagonal/>
    </border>
    <border>
      <left/>
      <right/>
      <top style="thin">
        <color indexed="64"/>
      </top>
      <bottom style="medium">
        <color indexed="8"/>
      </bottom>
      <diagonal/>
    </border>
    <border>
      <left style="thin">
        <color auto="1"/>
      </left>
      <right/>
      <top style="thin">
        <color indexed="64"/>
      </top>
      <bottom style="medium">
        <color indexed="8"/>
      </bottom>
      <diagonal/>
    </border>
    <border>
      <left style="thin">
        <color auto="1"/>
      </left>
      <right style="medium">
        <color auto="1"/>
      </right>
      <top style="thin">
        <color indexed="64"/>
      </top>
      <bottom style="medium">
        <color indexed="8"/>
      </bottom>
      <diagonal/>
    </border>
    <border>
      <left style="medium">
        <color auto="1"/>
      </left>
      <right style="thin">
        <color indexed="64"/>
      </right>
      <top style="thin">
        <color auto="1"/>
      </top>
      <bottom/>
      <diagonal/>
    </border>
    <border>
      <left style="medium">
        <color auto="1"/>
      </left>
      <right style="thin">
        <color indexed="64"/>
      </right>
      <top style="thin">
        <color indexed="8"/>
      </top>
      <bottom style="thin">
        <color indexed="8"/>
      </bottom>
      <diagonal/>
    </border>
    <border>
      <left style="medium">
        <color auto="1"/>
      </left>
      <right style="thin">
        <color indexed="64"/>
      </right>
      <top style="thin">
        <color indexed="8"/>
      </top>
      <bottom style="thin">
        <color auto="1"/>
      </bottom>
      <diagonal/>
    </border>
    <border>
      <left style="medium">
        <color indexed="8"/>
      </left>
      <right/>
      <top style="medium">
        <color indexed="8"/>
      </top>
      <bottom/>
      <diagonal/>
    </border>
    <border>
      <left style="thin">
        <color indexed="64"/>
      </left>
      <right style="thin">
        <color indexed="64"/>
      </right>
      <top style="medium">
        <color indexed="8"/>
      </top>
      <bottom/>
      <diagonal/>
    </border>
    <border>
      <left style="thin">
        <color indexed="64"/>
      </left>
      <right style="medium">
        <color indexed="8"/>
      </right>
      <top style="medium">
        <color indexed="8"/>
      </top>
      <bottom/>
      <diagonal/>
    </border>
    <border>
      <left style="medium">
        <color indexed="64"/>
      </left>
      <right/>
      <top style="medium">
        <color indexed="64"/>
      </top>
      <bottom style="thin">
        <color indexed="64"/>
      </bottom>
      <diagonal/>
    </border>
    <border>
      <left style="thin">
        <color auto="1"/>
      </left>
      <right style="medium">
        <color indexed="64"/>
      </right>
      <top style="medium">
        <color auto="1"/>
      </top>
      <bottom style="thin">
        <color auto="1"/>
      </bottom>
      <diagonal/>
    </border>
    <border>
      <left/>
      <right/>
      <top style="medium">
        <color auto="1"/>
      </top>
      <bottom/>
      <diagonal/>
    </border>
    <border>
      <left style="medium">
        <color indexed="8"/>
      </left>
      <right/>
      <top/>
      <bottom style="medium">
        <color indexed="8"/>
      </bottom>
      <diagonal/>
    </border>
    <border>
      <left/>
      <right/>
      <top/>
      <bottom style="medium">
        <color indexed="8"/>
      </bottom>
      <diagonal/>
    </border>
    <border>
      <left style="thin">
        <color indexed="64"/>
      </left>
      <right style="thin">
        <color indexed="64"/>
      </right>
      <top/>
      <bottom style="medium">
        <color indexed="8"/>
      </bottom>
      <diagonal/>
    </border>
    <border>
      <left style="thin">
        <color indexed="64"/>
      </left>
      <right style="medium">
        <color indexed="8"/>
      </right>
      <top/>
      <bottom style="medium">
        <color indexed="8"/>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dotted">
        <color theme="2" tint="-0.24994659260841701"/>
      </left>
      <right/>
      <top style="dotted">
        <color theme="2" tint="-0.24994659260841701"/>
      </top>
      <bottom style="dotted">
        <color theme="2" tint="-0.24994659260841701"/>
      </bottom>
      <diagonal/>
    </border>
    <border>
      <left/>
      <right/>
      <top style="dotted">
        <color theme="2" tint="-0.24994659260841701"/>
      </top>
      <bottom style="dotted">
        <color theme="2" tint="-0.24994659260841701"/>
      </bottom>
      <diagonal/>
    </border>
    <border>
      <left/>
      <right style="dotted">
        <color theme="2" tint="-0.24994659260841701"/>
      </right>
      <top style="dotted">
        <color theme="2" tint="-0.24994659260841701"/>
      </top>
      <bottom style="dotted">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style="thin">
        <color indexed="64"/>
      </left>
      <right style="thin">
        <color indexed="64"/>
      </right>
      <top style="thin">
        <color indexed="64"/>
      </top>
      <bottom style="thin">
        <color indexed="64"/>
      </bottom>
      <diagonal/>
    </border>
  </borders>
  <cellStyleXfs count="10">
    <xf numFmtId="0" fontId="0" fillId="0" borderId="0"/>
    <xf numFmtId="9" fontId="1" fillId="0" borderId="0" applyFont="0" applyFill="0" applyBorder="0" applyAlignment="0" applyProtection="0"/>
    <xf numFmtId="0" fontId="6" fillId="0" borderId="0" applyNumberFormat="0" applyFill="0" applyBorder="0" applyAlignment="0" applyProtection="0"/>
    <xf numFmtId="44" fontId="1" fillId="0" borderId="0" applyFont="0" applyFill="0" applyBorder="0" applyAlignment="0" applyProtection="0"/>
    <xf numFmtId="0" fontId="7" fillId="0" borderId="0"/>
    <xf numFmtId="0" fontId="17" fillId="0" borderId="0"/>
    <xf numFmtId="9" fontId="17" fillId="0" borderId="0"/>
    <xf numFmtId="43" fontId="1" fillId="0" borderId="0" applyFont="0" applyFill="0" applyBorder="0" applyAlignment="0" applyProtection="0"/>
    <xf numFmtId="0" fontId="37" fillId="0" borderId="0" applyNumberFormat="0" applyFill="0" applyBorder="0" applyAlignment="0" applyProtection="0"/>
    <xf numFmtId="43" fontId="7" fillId="0" borderId="0" applyFont="0" applyFill="0" applyBorder="0" applyAlignment="0" applyProtection="0"/>
  </cellStyleXfs>
  <cellXfs count="711">
    <xf numFmtId="0" fontId="0" fillId="0" borderId="0" xfId="0"/>
    <xf numFmtId="0" fontId="1" fillId="0" borderId="0" xfId="0" applyFont="1"/>
    <xf numFmtId="9" fontId="2" fillId="0" borderId="0" xfId="0" applyNumberFormat="1" applyFont="1"/>
    <xf numFmtId="3" fontId="1" fillId="0" borderId="0" xfId="0" applyNumberFormat="1" applyFont="1"/>
    <xf numFmtId="0" fontId="0" fillId="0" borderId="0" xfId="0" applyFont="1"/>
    <xf numFmtId="0" fontId="1" fillId="4" borderId="0" xfId="0" applyFont="1" applyFill="1"/>
    <xf numFmtId="0" fontId="3" fillId="4" borderId="0" xfId="0" applyFont="1" applyFill="1"/>
    <xf numFmtId="0" fontId="0" fillId="0" borderId="1" xfId="0" applyFont="1" applyBorder="1"/>
    <xf numFmtId="0" fontId="0" fillId="0" borderId="1" xfId="0" applyBorder="1"/>
    <xf numFmtId="0" fontId="2" fillId="5" borderId="0" xfId="0" applyFont="1" applyFill="1"/>
    <xf numFmtId="0" fontId="1" fillId="0" borderId="1" xfId="0" applyFont="1" applyBorder="1"/>
    <xf numFmtId="0" fontId="2" fillId="0" borderId="1" xfId="0" applyFont="1" applyBorder="1"/>
    <xf numFmtId="3" fontId="2" fillId="0" borderId="1" xfId="0" applyNumberFormat="1" applyFont="1" applyBorder="1"/>
    <xf numFmtId="0" fontId="3" fillId="6" borderId="1" xfId="0" applyFont="1" applyFill="1" applyBorder="1"/>
    <xf numFmtId="0" fontId="2" fillId="6" borderId="1" xfId="0" applyFont="1" applyFill="1" applyBorder="1"/>
    <xf numFmtId="3" fontId="3" fillId="6" borderId="1" xfId="0" applyNumberFormat="1" applyFont="1" applyFill="1" applyBorder="1"/>
    <xf numFmtId="0" fontId="0" fillId="0" borderId="1" xfId="0" applyFont="1" applyFill="1" applyBorder="1"/>
    <xf numFmtId="0" fontId="0" fillId="0" borderId="0" xfId="0" applyFont="1" applyFill="1" applyBorder="1"/>
    <xf numFmtId="9" fontId="1" fillId="0" borderId="0" xfId="0" applyNumberFormat="1" applyFont="1"/>
    <xf numFmtId="0" fontId="0" fillId="7" borderId="1" xfId="0" applyFill="1" applyBorder="1"/>
    <xf numFmtId="169" fontId="0" fillId="0" borderId="1" xfId="0" applyNumberFormat="1" applyBorder="1" applyAlignment="1">
      <alignment horizontal="center"/>
    </xf>
    <xf numFmtId="0" fontId="2" fillId="0" borderId="0" xfId="0" applyFont="1"/>
    <xf numFmtId="0" fontId="0" fillId="0" borderId="0" xfId="0" applyFill="1" applyBorder="1"/>
    <xf numFmtId="0" fontId="0" fillId="0" borderId="0" xfId="0" applyBorder="1"/>
    <xf numFmtId="0" fontId="0" fillId="0" borderId="0" xfId="0" applyBorder="1" applyAlignment="1">
      <alignment horizontal="center"/>
    </xf>
    <xf numFmtId="0" fontId="0" fillId="0" borderId="1" xfId="0" applyBorder="1" applyAlignment="1"/>
    <xf numFmtId="0" fontId="0" fillId="7" borderId="1" xfId="0" applyFill="1" applyBorder="1" applyAlignment="1"/>
    <xf numFmtId="11" fontId="1" fillId="0" borderId="0" xfId="0" applyNumberFormat="1" applyFont="1"/>
    <xf numFmtId="0" fontId="0" fillId="0" borderId="0" xfId="0" applyAlignment="1">
      <alignment vertical="center"/>
    </xf>
    <xf numFmtId="176" fontId="0" fillId="0" borderId="1" xfId="0" applyNumberFormat="1" applyBorder="1"/>
    <xf numFmtId="177" fontId="0" fillId="0" borderId="1" xfId="0" applyNumberFormat="1" applyBorder="1"/>
    <xf numFmtId="178" fontId="0" fillId="0" borderId="1" xfId="0" applyNumberFormat="1" applyBorder="1"/>
    <xf numFmtId="0" fontId="0" fillId="0" borderId="2" xfId="0" applyBorder="1" applyAlignment="1"/>
    <xf numFmtId="0" fontId="0" fillId="0" borderId="3" xfId="0" applyBorder="1" applyAlignment="1"/>
    <xf numFmtId="0" fontId="0" fillId="7" borderId="1" xfId="0" applyFill="1" applyBorder="1" applyAlignment="1">
      <alignment vertical="center"/>
    </xf>
    <xf numFmtId="0" fontId="7" fillId="0" borderId="0" xfId="4"/>
    <xf numFmtId="0" fontId="7" fillId="0" borderId="0" xfId="4" applyAlignment="1">
      <alignment wrapText="1"/>
    </xf>
    <xf numFmtId="0" fontId="0" fillId="0" borderId="3" xfId="0" applyBorder="1"/>
    <xf numFmtId="0" fontId="0" fillId="0" borderId="2" xfId="0" applyBorder="1"/>
    <xf numFmtId="0" fontId="8" fillId="0" borderId="0" xfId="4" applyFont="1"/>
    <xf numFmtId="0" fontId="4" fillId="0" borderId="0" xfId="0" applyFont="1"/>
    <xf numFmtId="3" fontId="0" fillId="0" borderId="0" xfId="0" applyNumberFormat="1" applyAlignment="1">
      <alignment vertical="center"/>
    </xf>
    <xf numFmtId="9" fontId="0" fillId="0" borderId="0" xfId="1" applyFont="1" applyAlignment="1">
      <alignment vertical="center"/>
    </xf>
    <xf numFmtId="10" fontId="2" fillId="9" borderId="1" xfId="1" applyNumberFormat="1" applyFont="1" applyFill="1" applyBorder="1" applyAlignment="1">
      <alignment vertical="center"/>
    </xf>
    <xf numFmtId="0" fontId="2" fillId="9" borderId="2" xfId="0" applyFont="1" applyFill="1" applyBorder="1" applyAlignment="1">
      <alignment vertical="center"/>
    </xf>
    <xf numFmtId="0" fontId="0" fillId="0" borderId="2" xfId="0" applyBorder="1" applyAlignment="1">
      <alignment vertical="center"/>
    </xf>
    <xf numFmtId="0" fontId="0" fillId="0" borderId="0" xfId="0" applyBorder="1" applyAlignment="1">
      <alignment vertical="center"/>
    </xf>
    <xf numFmtId="3" fontId="0" fillId="0" borderId="3" xfId="0" applyNumberFormat="1" applyBorder="1" applyAlignment="1">
      <alignment vertical="center"/>
    </xf>
    <xf numFmtId="3" fontId="0" fillId="0" borderId="11" xfId="0" applyNumberFormat="1" applyFill="1" applyBorder="1" applyAlignment="1">
      <alignment vertical="center"/>
    </xf>
    <xf numFmtId="0" fontId="0" fillId="0" borderId="12" xfId="0" applyBorder="1" applyAlignment="1">
      <alignment vertical="center"/>
    </xf>
    <xf numFmtId="3" fontId="0" fillId="0" borderId="14" xfId="0" applyNumberFormat="1" applyFill="1" applyBorder="1" applyAlignment="1">
      <alignment vertical="center"/>
    </xf>
    <xf numFmtId="0" fontId="0" fillId="0" borderId="15" xfId="0" applyBorder="1" applyAlignment="1">
      <alignment vertical="center"/>
    </xf>
    <xf numFmtId="3" fontId="0" fillId="0" borderId="11" xfId="0" applyNumberFormat="1" applyBorder="1" applyAlignment="1">
      <alignment vertical="center"/>
    </xf>
    <xf numFmtId="3" fontId="0" fillId="0" borderId="0" xfId="0" applyNumberFormat="1" applyFill="1" applyAlignment="1">
      <alignment vertical="center"/>
    </xf>
    <xf numFmtId="0" fontId="0" fillId="0" borderId="0" xfId="0" applyAlignment="1">
      <alignment horizontal="center" vertical="center"/>
    </xf>
    <xf numFmtId="3" fontId="0" fillId="0" borderId="18" xfId="0" applyNumberFormat="1" applyFill="1" applyBorder="1" applyAlignment="1">
      <alignment vertical="center"/>
    </xf>
    <xf numFmtId="3" fontId="0" fillId="0" borderId="9" xfId="0" applyNumberFormat="1" applyFill="1" applyBorder="1" applyAlignment="1">
      <alignment vertical="center"/>
    </xf>
    <xf numFmtId="0" fontId="2" fillId="5" borderId="1" xfId="0" applyFont="1" applyFill="1" applyBorder="1" applyAlignment="1">
      <alignment horizontal="center" vertical="center" wrapText="1"/>
    </xf>
    <xf numFmtId="3" fontId="0" fillId="8" borderId="1" xfId="0" applyNumberFormat="1" applyFill="1" applyBorder="1" applyAlignment="1">
      <alignment vertical="center"/>
    </xf>
    <xf numFmtId="3" fontId="1" fillId="7" borderId="1" xfId="0" applyNumberFormat="1" applyFont="1" applyFill="1" applyBorder="1"/>
    <xf numFmtId="0" fontId="1" fillId="7" borderId="1" xfId="0" applyFont="1" applyFill="1" applyBorder="1"/>
    <xf numFmtId="0" fontId="0" fillId="0" borderId="5" xfId="0" applyBorder="1"/>
    <xf numFmtId="183" fontId="0" fillId="0" borderId="1" xfId="3" applyNumberFormat="1" applyFont="1" applyBorder="1"/>
    <xf numFmtId="0" fontId="12" fillId="0" borderId="0" xfId="0" applyFont="1"/>
    <xf numFmtId="166" fontId="0" fillId="0" borderId="0" xfId="0" applyNumberFormat="1" applyBorder="1" applyAlignment="1">
      <alignment horizontal="center"/>
    </xf>
    <xf numFmtId="0" fontId="0" fillId="0" borderId="0" xfId="0" applyBorder="1" applyAlignment="1"/>
    <xf numFmtId="9" fontId="1" fillId="0" borderId="0" xfId="0" applyNumberFormat="1" applyFont="1" applyBorder="1"/>
    <xf numFmtId="0" fontId="11" fillId="0" borderId="0" xfId="0" applyFont="1"/>
    <xf numFmtId="0" fontId="11" fillId="0" borderId="0" xfId="0" applyFont="1" applyAlignment="1">
      <alignment horizontal="center" vertical="center" wrapText="1"/>
    </xf>
    <xf numFmtId="0" fontId="13" fillId="0" borderId="2" xfId="0" applyFont="1" applyFill="1" applyBorder="1" applyAlignment="1"/>
    <xf numFmtId="0" fontId="15" fillId="0" borderId="0" xfId="4" applyFont="1"/>
    <xf numFmtId="180" fontId="0" fillId="7" borderId="1" xfId="0" applyNumberFormat="1" applyFill="1" applyBorder="1" applyAlignment="1">
      <alignment horizontal="center"/>
    </xf>
    <xf numFmtId="0" fontId="13" fillId="7" borderId="1" xfId="0" applyFont="1" applyFill="1" applyBorder="1"/>
    <xf numFmtId="0" fontId="13" fillId="0" borderId="1" xfId="0" applyFont="1" applyBorder="1"/>
    <xf numFmtId="0" fontId="13" fillId="0" borderId="1" xfId="0" applyFont="1" applyFill="1" applyBorder="1"/>
    <xf numFmtId="170" fontId="13" fillId="0" borderId="5" xfId="3" applyNumberFormat="1" applyFont="1" applyBorder="1" applyAlignment="1"/>
    <xf numFmtId="170" fontId="13" fillId="0" borderId="1" xfId="3" applyNumberFormat="1" applyFont="1" applyBorder="1" applyAlignment="1"/>
    <xf numFmtId="167" fontId="0" fillId="0" borderId="1" xfId="0" applyNumberFormat="1" applyFill="1" applyBorder="1" applyAlignment="1">
      <alignment horizontal="center"/>
    </xf>
    <xf numFmtId="0" fontId="0" fillId="0" borderId="0" xfId="0" applyAlignment="1">
      <alignment horizontal="center"/>
    </xf>
    <xf numFmtId="0" fontId="0" fillId="0" borderId="2" xfId="0" applyFill="1" applyBorder="1" applyAlignment="1"/>
    <xf numFmtId="9" fontId="0" fillId="0" borderId="1" xfId="1" applyFont="1" applyBorder="1"/>
    <xf numFmtId="0" fontId="1" fillId="0" borderId="1" xfId="0" applyFont="1" applyFill="1" applyBorder="1"/>
    <xf numFmtId="0" fontId="1" fillId="0" borderId="0" xfId="0" applyFont="1" applyAlignment="1">
      <alignment horizontal="right"/>
    </xf>
    <xf numFmtId="184" fontId="0" fillId="0" borderId="1" xfId="3" applyNumberFormat="1" applyFont="1" applyFill="1" applyBorder="1" applyAlignment="1">
      <alignment vertical="center"/>
    </xf>
    <xf numFmtId="184" fontId="1" fillId="0" borderId="1" xfId="3" applyNumberFormat="1" applyFont="1" applyFill="1" applyBorder="1" applyAlignment="1">
      <alignment horizontal="center" vertical="center"/>
    </xf>
    <xf numFmtId="0" fontId="0" fillId="0" borderId="5" xfId="0" applyBorder="1" applyAlignment="1"/>
    <xf numFmtId="0" fontId="0" fillId="0" borderId="25" xfId="0" applyBorder="1" applyAlignment="1">
      <alignment horizontal="center" vertical="center" wrapText="1"/>
    </xf>
    <xf numFmtId="3" fontId="0" fillId="0" borderId="4" xfId="0" applyNumberFormat="1" applyFill="1" applyBorder="1" applyAlignment="1">
      <alignment vertical="center"/>
    </xf>
    <xf numFmtId="3" fontId="0" fillId="0" borderId="27" xfId="0" applyNumberFormat="1" applyFill="1" applyBorder="1" applyAlignment="1">
      <alignment vertical="center"/>
    </xf>
    <xf numFmtId="0" fontId="0" fillId="0" borderId="35" xfId="0" applyBorder="1" applyAlignment="1">
      <alignment vertical="center"/>
    </xf>
    <xf numFmtId="3" fontId="0" fillId="0" borderId="30" xfId="0" applyNumberFormat="1" applyFill="1" applyBorder="1" applyAlignment="1">
      <alignment vertical="center"/>
    </xf>
    <xf numFmtId="0" fontId="19" fillId="0" borderId="0" xfId="0" applyFont="1" applyAlignment="1">
      <alignment vertical="center"/>
    </xf>
    <xf numFmtId="0" fontId="0" fillId="10" borderId="2" xfId="0" applyFont="1" applyFill="1" applyBorder="1" applyAlignment="1">
      <alignment vertical="center"/>
    </xf>
    <xf numFmtId="0" fontId="0" fillId="10" borderId="3" xfId="0" applyFont="1" applyFill="1" applyBorder="1" applyAlignment="1">
      <alignment vertical="center"/>
    </xf>
    <xf numFmtId="3" fontId="0" fillId="10" borderId="37" xfId="0" applyNumberFormat="1" applyFont="1" applyFill="1" applyBorder="1" applyAlignment="1">
      <alignment vertical="center"/>
    </xf>
    <xf numFmtId="0" fontId="2" fillId="2" borderId="2" xfId="0" applyFont="1" applyFill="1" applyBorder="1" applyAlignment="1">
      <alignment vertical="center"/>
    </xf>
    <xf numFmtId="0" fontId="2" fillId="2" borderId="1" xfId="0" applyFont="1" applyFill="1" applyBorder="1" applyAlignment="1">
      <alignment horizontal="center" vertical="center"/>
    </xf>
    <xf numFmtId="3" fontId="2" fillId="2" borderId="1" xfId="0" applyNumberFormat="1" applyFont="1" applyFill="1" applyBorder="1" applyAlignment="1">
      <alignment vertical="center"/>
    </xf>
    <xf numFmtId="3" fontId="0" fillId="10" borderId="36" xfId="0" applyNumberFormat="1" applyFont="1" applyFill="1" applyBorder="1" applyAlignment="1">
      <alignment vertical="center"/>
    </xf>
    <xf numFmtId="3" fontId="0" fillId="0" borderId="38" xfId="0" applyNumberFormat="1" applyFill="1" applyBorder="1" applyAlignment="1">
      <alignment vertical="center"/>
    </xf>
    <xf numFmtId="3" fontId="0" fillId="0" borderId="37" xfId="0" applyNumberFormat="1" applyFill="1" applyBorder="1" applyAlignment="1">
      <alignment vertical="center"/>
    </xf>
    <xf numFmtId="3" fontId="0" fillId="8" borderId="37" xfId="0" applyNumberFormat="1" applyFill="1" applyBorder="1" applyAlignment="1">
      <alignment vertical="center"/>
    </xf>
    <xf numFmtId="0" fontId="0" fillId="0" borderId="36" xfId="0" applyBorder="1" applyAlignment="1">
      <alignment vertical="center"/>
    </xf>
    <xf numFmtId="0" fontId="0" fillId="0" borderId="39" xfId="0" applyBorder="1" applyAlignment="1">
      <alignment vertical="center"/>
    </xf>
    <xf numFmtId="0" fontId="13" fillId="0" borderId="1" xfId="0" applyFont="1" applyBorder="1" applyAlignment="1">
      <alignment vertical="center"/>
    </xf>
    <xf numFmtId="0" fontId="0" fillId="0" borderId="1" xfId="0" applyBorder="1" applyAlignment="1">
      <alignment horizontal="center" vertical="center"/>
    </xf>
    <xf numFmtId="0" fontId="0" fillId="7" borderId="1" xfId="0" applyFill="1" applyBorder="1" applyAlignment="1">
      <alignment horizontal="center" vertical="center" wrapText="1"/>
    </xf>
    <xf numFmtId="167" fontId="0" fillId="0" borderId="1" xfId="0" applyNumberFormat="1" applyFill="1" applyBorder="1" applyAlignment="1">
      <alignment horizontal="center" vertical="center"/>
    </xf>
    <xf numFmtId="168" fontId="0" fillId="0" borderId="1" xfId="0" applyNumberFormat="1" applyBorder="1" applyAlignment="1">
      <alignment horizontal="center" vertical="center"/>
    </xf>
    <xf numFmtId="170" fontId="13" fillId="0" borderId="2" xfId="3" applyNumberFormat="1" applyFont="1" applyBorder="1" applyAlignment="1"/>
    <xf numFmtId="0" fontId="13" fillId="7" borderId="2" xfId="0" applyFont="1" applyFill="1" applyBorder="1" applyAlignment="1">
      <alignment wrapText="1"/>
    </xf>
    <xf numFmtId="0" fontId="13" fillId="7" borderId="5" xfId="0" applyFont="1" applyFill="1" applyBorder="1" applyAlignment="1">
      <alignment wrapText="1"/>
    </xf>
    <xf numFmtId="0" fontId="0" fillId="0" borderId="41" xfId="0" applyBorder="1" applyAlignment="1"/>
    <xf numFmtId="176" fontId="0" fillId="0" borderId="37" xfId="0" applyNumberFormat="1" applyBorder="1"/>
    <xf numFmtId="0" fontId="26" fillId="3" borderId="28" xfId="0" applyFont="1" applyFill="1" applyBorder="1"/>
    <xf numFmtId="181" fontId="0" fillId="7" borderId="1" xfId="0" applyNumberFormat="1" applyFill="1" applyBorder="1" applyAlignment="1">
      <alignment horizontal="center"/>
    </xf>
    <xf numFmtId="0" fontId="0" fillId="0" borderId="54" xfId="0" applyBorder="1" applyAlignment="1">
      <alignment vertical="center"/>
    </xf>
    <xf numFmtId="10" fontId="0" fillId="7" borderId="55" xfId="1" applyNumberFormat="1" applyFont="1" applyFill="1"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9" fontId="0" fillId="7" borderId="55" xfId="0" applyNumberFormat="1" applyFill="1" applyBorder="1" applyAlignment="1">
      <alignment horizontal="center" vertical="center"/>
    </xf>
    <xf numFmtId="0" fontId="0" fillId="5" borderId="57" xfId="0" applyFill="1" applyBorder="1" applyAlignment="1">
      <alignment vertical="center"/>
    </xf>
    <xf numFmtId="0" fontId="2" fillId="2" borderId="39" xfId="0" applyFont="1" applyFill="1" applyBorder="1" applyAlignment="1">
      <alignment vertical="center"/>
    </xf>
    <xf numFmtId="0" fontId="0" fillId="10" borderId="41" xfId="0" applyFont="1" applyFill="1" applyBorder="1" applyAlignment="1">
      <alignment vertical="center"/>
    </xf>
    <xf numFmtId="0" fontId="0" fillId="0" borderId="34" xfId="0" applyBorder="1" applyAlignment="1">
      <alignment vertical="center"/>
    </xf>
    <xf numFmtId="0" fontId="0" fillId="0" borderId="25" xfId="0" applyBorder="1" applyAlignment="1">
      <alignment horizontal="left" vertical="center"/>
    </xf>
    <xf numFmtId="0" fontId="0" fillId="0" borderId="58" xfId="0" applyBorder="1" applyAlignment="1">
      <alignment vertical="center"/>
    </xf>
    <xf numFmtId="0" fontId="0" fillId="0" borderId="33" xfId="0" applyBorder="1" applyAlignment="1">
      <alignment vertical="center"/>
    </xf>
    <xf numFmtId="0" fontId="2" fillId="9" borderId="39" xfId="0" applyFont="1" applyFill="1" applyBorder="1" applyAlignment="1">
      <alignment vertical="center"/>
    </xf>
    <xf numFmtId="0" fontId="2" fillId="2" borderId="41" xfId="0" applyFont="1" applyFill="1" applyBorder="1" applyAlignment="1">
      <alignment vertical="center"/>
    </xf>
    <xf numFmtId="0" fontId="0" fillId="0" borderId="59"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8" borderId="39" xfId="0" applyFill="1" applyBorder="1" applyAlignment="1">
      <alignment horizontal="left" vertical="center"/>
    </xf>
    <xf numFmtId="0" fontId="0" fillId="0" borderId="32" xfId="0" applyBorder="1" applyAlignment="1">
      <alignment vertical="center"/>
    </xf>
    <xf numFmtId="0" fontId="0" fillId="0" borderId="41" xfId="0" applyBorder="1" applyAlignment="1">
      <alignment vertical="center"/>
    </xf>
    <xf numFmtId="0" fontId="2" fillId="9" borderId="41" xfId="0" applyFont="1" applyFill="1" applyBorder="1" applyAlignment="1">
      <alignment vertical="center"/>
    </xf>
    <xf numFmtId="0" fontId="0" fillId="0" borderId="41" xfId="0" applyBorder="1" applyAlignment="1">
      <alignment horizontal="right" vertical="center"/>
    </xf>
    <xf numFmtId="187" fontId="0" fillId="0" borderId="39" xfId="0" applyNumberFormat="1" applyBorder="1" applyAlignment="1">
      <alignment horizontal="left" vertical="center"/>
    </xf>
    <xf numFmtId="0" fontId="22" fillId="0" borderId="0" xfId="0" applyFont="1" applyAlignment="1">
      <alignment vertical="center"/>
    </xf>
    <xf numFmtId="2" fontId="2" fillId="7" borderId="1" xfId="0" applyNumberFormat="1" applyFont="1" applyFill="1" applyBorder="1" applyAlignment="1">
      <alignment horizontal="center"/>
    </xf>
    <xf numFmtId="0" fontId="2" fillId="5" borderId="0" xfId="0" applyFont="1" applyFill="1" applyAlignment="1">
      <alignment horizontal="left"/>
    </xf>
    <xf numFmtId="0" fontId="1" fillId="7" borderId="13" xfId="0" applyFont="1" applyFill="1" applyBorder="1" applyAlignment="1">
      <alignment horizontal="center"/>
    </xf>
    <xf numFmtId="4" fontId="1" fillId="7" borderId="13" xfId="0" applyNumberFormat="1" applyFont="1" applyFill="1" applyBorder="1" applyAlignment="1">
      <alignment horizontal="center"/>
    </xf>
    <xf numFmtId="164" fontId="1" fillId="7" borderId="36" xfId="0" applyNumberFormat="1" applyFont="1" applyFill="1" applyBorder="1" applyAlignment="1">
      <alignment horizontal="center"/>
    </xf>
    <xf numFmtId="8" fontId="0" fillId="0" borderId="0" xfId="0" applyNumberFormat="1" applyAlignment="1">
      <alignment vertical="center"/>
    </xf>
    <xf numFmtId="0" fontId="2" fillId="2" borderId="41" xfId="0" applyFont="1" applyFill="1" applyBorder="1" applyAlignment="1">
      <alignment horizontal="right" vertical="center"/>
    </xf>
    <xf numFmtId="187" fontId="2" fillId="2" borderId="39" xfId="0" applyNumberFormat="1" applyFont="1" applyFill="1" applyBorder="1" applyAlignment="1">
      <alignment horizontal="left" vertical="center"/>
    </xf>
    <xf numFmtId="0" fontId="19" fillId="2" borderId="0" xfId="0" applyFont="1" applyFill="1" applyAlignment="1">
      <alignment vertical="center"/>
    </xf>
    <xf numFmtId="0" fontId="2" fillId="2" borderId="0" xfId="0" applyFont="1" applyFill="1" applyAlignment="1">
      <alignment vertical="center"/>
    </xf>
    <xf numFmtId="0" fontId="26" fillId="12" borderId="37" xfId="0" applyFont="1" applyFill="1" applyBorder="1"/>
    <xf numFmtId="0" fontId="26" fillId="0" borderId="0" xfId="0" applyFont="1" applyBorder="1" applyAlignment="1">
      <alignment vertical="top" wrapText="1"/>
    </xf>
    <xf numFmtId="188" fontId="0" fillId="0" borderId="1" xfId="0" applyNumberFormat="1" applyBorder="1"/>
    <xf numFmtId="188" fontId="0" fillId="0" borderId="37" xfId="0" applyNumberFormat="1" applyBorder="1"/>
    <xf numFmtId="0" fontId="33" fillId="12" borderId="37" xfId="0" applyFont="1" applyFill="1" applyBorder="1"/>
    <xf numFmtId="0" fontId="0" fillId="3" borderId="37" xfId="0" applyNumberFormat="1" applyFill="1" applyBorder="1" applyAlignment="1" applyProtection="1">
      <alignment horizontal="center" vertical="center"/>
      <protection locked="0"/>
    </xf>
    <xf numFmtId="0" fontId="0" fillId="3" borderId="40" xfId="0" applyNumberFormat="1" applyFill="1" applyBorder="1" applyAlignment="1" applyProtection="1">
      <alignment horizontal="center" vertical="center"/>
      <protection locked="0"/>
    </xf>
    <xf numFmtId="0" fontId="0" fillId="0" borderId="0" xfId="0" applyFill="1" applyProtection="1"/>
    <xf numFmtId="0" fontId="0" fillId="0" borderId="0" xfId="0" applyProtection="1"/>
    <xf numFmtId="0" fontId="22" fillId="0" borderId="0" xfId="0" applyFont="1" applyProtection="1"/>
    <xf numFmtId="164" fontId="0" fillId="0" borderId="0" xfId="0" applyNumberFormat="1" applyProtection="1"/>
    <xf numFmtId="0" fontId="2" fillId="0" borderId="0" xfId="0" applyFont="1" applyFill="1" applyProtection="1"/>
    <xf numFmtId="182" fontId="24" fillId="11" borderId="46" xfId="0" applyNumberFormat="1" applyFont="1" applyFill="1" applyBorder="1" applyProtection="1"/>
    <xf numFmtId="0" fontId="9" fillId="5" borderId="1" xfId="0" applyFont="1" applyFill="1" applyBorder="1" applyAlignment="1" applyProtection="1">
      <alignment horizontal="center" vertical="center"/>
    </xf>
    <xf numFmtId="0" fontId="9"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wrapText="1"/>
    </xf>
    <xf numFmtId="0" fontId="14" fillId="5" borderId="37" xfId="0" applyFont="1" applyFill="1" applyBorder="1" applyAlignment="1" applyProtection="1">
      <alignment horizontal="center" vertical="center" wrapText="1"/>
    </xf>
    <xf numFmtId="0" fontId="0" fillId="7" borderId="1" xfId="0" applyNumberFormat="1" applyFill="1" applyBorder="1" applyProtection="1"/>
    <xf numFmtId="174" fontId="0" fillId="7" borderId="1" xfId="0" applyNumberFormat="1" applyFill="1" applyBorder="1" applyAlignment="1" applyProtection="1">
      <alignment horizontal="center" vertical="center"/>
    </xf>
    <xf numFmtId="173" fontId="0" fillId="11" borderId="1" xfId="0" applyNumberFormat="1" applyFill="1" applyBorder="1" applyAlignment="1" applyProtection="1">
      <alignment horizontal="center" vertical="center"/>
    </xf>
    <xf numFmtId="172" fontId="0" fillId="7" borderId="1" xfId="0" applyNumberFormat="1" applyFill="1" applyBorder="1" applyAlignment="1" applyProtection="1">
      <alignment horizontal="center" vertical="center"/>
    </xf>
    <xf numFmtId="175" fontId="0" fillId="7" borderId="1" xfId="0" applyNumberFormat="1" applyFill="1" applyBorder="1" applyAlignment="1" applyProtection="1">
      <alignment horizontal="center" vertical="center"/>
    </xf>
    <xf numFmtId="182" fontId="0" fillId="7" borderId="1" xfId="0" applyNumberFormat="1" applyFill="1" applyBorder="1" applyAlignment="1" applyProtection="1">
      <alignment horizontal="center" vertical="center"/>
    </xf>
    <xf numFmtId="0" fontId="0" fillId="0" borderId="0" xfId="0" applyAlignment="1" applyProtection="1">
      <alignment vertical="center"/>
    </xf>
    <xf numFmtId="172" fontId="0" fillId="7" borderId="40" xfId="0" applyNumberFormat="1" applyFill="1" applyBorder="1" applyAlignment="1" applyProtection="1">
      <alignment horizontal="center" vertical="center"/>
    </xf>
    <xf numFmtId="0" fontId="10" fillId="5" borderId="10" xfId="0" applyNumberFormat="1" applyFont="1" applyFill="1" applyBorder="1" applyAlignment="1" applyProtection="1">
      <alignment horizontal="center" vertical="center"/>
    </xf>
    <xf numFmtId="173" fontId="10" fillId="5" borderId="9" xfId="0" applyNumberFormat="1" applyFont="1" applyFill="1" applyBorder="1" applyAlignment="1" applyProtection="1">
      <alignment horizontal="center" vertical="center"/>
    </xf>
    <xf numFmtId="172" fontId="10" fillId="5" borderId="9" xfId="0" applyNumberFormat="1" applyFont="1" applyFill="1" applyBorder="1" applyAlignment="1" applyProtection="1">
      <alignment horizontal="center" vertical="center"/>
    </xf>
    <xf numFmtId="175" fontId="10" fillId="5" borderId="9" xfId="0" applyNumberFormat="1" applyFont="1" applyFill="1" applyBorder="1" applyAlignment="1" applyProtection="1">
      <alignment horizontal="center" vertical="center"/>
    </xf>
    <xf numFmtId="182" fontId="10" fillId="5" borderId="23" xfId="0" applyNumberFormat="1" applyFont="1" applyFill="1" applyBorder="1" applyAlignment="1" applyProtection="1">
      <alignment horizontal="center" vertical="center"/>
    </xf>
    <xf numFmtId="0" fontId="10" fillId="0" borderId="0" xfId="0" applyFont="1" applyFill="1" applyBorder="1" applyAlignment="1" applyProtection="1">
      <alignment horizontal="left"/>
    </xf>
    <xf numFmtId="0" fontId="10" fillId="0" borderId="0" xfId="0" applyNumberFormat="1" applyFont="1" applyFill="1" applyBorder="1" applyAlignment="1" applyProtection="1">
      <alignment horizontal="center" vertical="center"/>
    </xf>
    <xf numFmtId="173" fontId="10" fillId="0" borderId="0" xfId="0" applyNumberFormat="1" applyFont="1" applyFill="1" applyBorder="1" applyAlignment="1" applyProtection="1">
      <alignment horizontal="center" vertical="center"/>
    </xf>
    <xf numFmtId="172" fontId="10" fillId="0" borderId="0" xfId="0" applyNumberFormat="1" applyFont="1" applyFill="1" applyBorder="1" applyAlignment="1" applyProtection="1">
      <alignment horizontal="center" vertical="center"/>
    </xf>
    <xf numFmtId="175" fontId="10" fillId="0" borderId="0" xfId="0" applyNumberFormat="1" applyFont="1" applyFill="1" applyBorder="1" applyAlignment="1" applyProtection="1">
      <alignment horizontal="center" vertical="center"/>
    </xf>
    <xf numFmtId="182" fontId="10" fillId="0" borderId="0" xfId="0" applyNumberFormat="1" applyFont="1" applyFill="1" applyBorder="1" applyAlignment="1" applyProtection="1">
      <alignment horizontal="center" vertical="center"/>
    </xf>
    <xf numFmtId="0" fontId="9" fillId="5" borderId="36" xfId="0" applyFont="1" applyFill="1" applyBorder="1" applyAlignment="1" applyProtection="1">
      <alignment vertical="center"/>
    </xf>
    <xf numFmtId="0" fontId="9" fillId="5" borderId="37" xfId="0" applyFont="1" applyFill="1" applyBorder="1" applyAlignment="1" applyProtection="1">
      <alignment vertical="center"/>
    </xf>
    <xf numFmtId="0" fontId="0" fillId="7" borderId="36" xfId="0" applyNumberFormat="1" applyFill="1" applyBorder="1" applyAlignment="1" applyProtection="1">
      <alignment horizontal="center" vertical="center"/>
    </xf>
    <xf numFmtId="0" fontId="0" fillId="7" borderId="37" xfId="0" applyNumberFormat="1" applyFill="1" applyBorder="1" applyAlignment="1" applyProtection="1">
      <alignment horizontal="center" vertical="center"/>
    </xf>
    <xf numFmtId="0" fontId="0" fillId="7" borderId="39" xfId="0" applyNumberFormat="1" applyFill="1" applyBorder="1" applyAlignment="1" applyProtection="1">
      <alignment horizontal="center" vertical="center"/>
    </xf>
    <xf numFmtId="172" fontId="0" fillId="11" borderId="37" xfId="0" applyNumberFormat="1" applyFill="1" applyBorder="1" applyAlignment="1" applyProtection="1">
      <alignment horizontal="center" vertical="center"/>
    </xf>
    <xf numFmtId="0" fontId="0" fillId="7" borderId="45" xfId="0" applyNumberFormat="1" applyFill="1" applyBorder="1" applyAlignment="1" applyProtection="1">
      <alignment horizontal="center" vertical="center"/>
    </xf>
    <xf numFmtId="0" fontId="0" fillId="7" borderId="40" xfId="0" applyNumberFormat="1" applyFill="1" applyBorder="1" applyAlignment="1" applyProtection="1">
      <alignment horizontal="center" vertical="center"/>
    </xf>
    <xf numFmtId="173" fontId="0" fillId="11" borderId="40" xfId="0" applyNumberFormat="1" applyFill="1" applyBorder="1" applyAlignment="1" applyProtection="1">
      <alignment horizontal="center" vertical="center"/>
    </xf>
    <xf numFmtId="172" fontId="0" fillId="11" borderId="40" xfId="0" applyNumberFormat="1" applyFill="1" applyBorder="1" applyAlignment="1" applyProtection="1">
      <alignment horizontal="center" vertical="center"/>
    </xf>
    <xf numFmtId="0" fontId="0" fillId="0" borderId="44" xfId="0" applyBorder="1" applyProtection="1"/>
    <xf numFmtId="0" fontId="0" fillId="8" borderId="37" xfId="0" applyFill="1" applyBorder="1" applyAlignment="1">
      <alignment vertical="center"/>
    </xf>
    <xf numFmtId="0" fontId="0" fillId="8" borderId="36" xfId="0" applyFill="1" applyBorder="1" applyAlignment="1">
      <alignment vertical="center"/>
    </xf>
    <xf numFmtId="0" fontId="1" fillId="0" borderId="49" xfId="0" applyFont="1" applyBorder="1"/>
    <xf numFmtId="0" fontId="0" fillId="0" borderId="37" xfId="0" applyBorder="1" applyAlignment="1">
      <alignment vertical="center" wrapText="1"/>
    </xf>
    <xf numFmtId="3" fontId="0" fillId="8" borderId="36" xfId="0" applyNumberFormat="1" applyFill="1" applyBorder="1" applyAlignment="1">
      <alignment vertical="center"/>
    </xf>
    <xf numFmtId="0" fontId="0" fillId="0" borderId="39" xfId="0" applyBorder="1" applyAlignment="1">
      <alignment horizontal="left" vertical="center"/>
    </xf>
    <xf numFmtId="0" fontId="2" fillId="5" borderId="0" xfId="0" applyFont="1" applyFill="1" applyAlignment="1">
      <alignment horizontal="center"/>
    </xf>
    <xf numFmtId="0" fontId="0" fillId="3" borderId="1" xfId="0" applyFill="1" applyBorder="1" applyProtection="1">
      <protection locked="0"/>
    </xf>
    <xf numFmtId="171" fontId="0" fillId="3" borderId="1" xfId="0" applyNumberFormat="1" applyFill="1" applyBorder="1" applyAlignment="1" applyProtection="1">
      <alignment horizontal="center"/>
      <protection locked="0"/>
    </xf>
    <xf numFmtId="181" fontId="0" fillId="12" borderId="1" xfId="0" applyNumberFormat="1" applyFill="1" applyBorder="1" applyAlignment="1" applyProtection="1">
      <alignment horizontal="center"/>
      <protection locked="0"/>
    </xf>
    <xf numFmtId="179" fontId="0" fillId="3" borderId="1" xfId="0" applyNumberFormat="1" applyFill="1" applyBorder="1" applyAlignment="1" applyProtection="1">
      <alignment horizontal="center"/>
      <protection locked="0"/>
    </xf>
    <xf numFmtId="0" fontId="0" fillId="3" borderId="36" xfId="0" applyFill="1" applyBorder="1" applyAlignment="1" applyProtection="1">
      <alignment horizontal="center"/>
      <protection locked="0"/>
    </xf>
    <xf numFmtId="180" fontId="0" fillId="3" borderId="1" xfId="0" applyNumberFormat="1" applyFill="1" applyBorder="1" applyAlignment="1" applyProtection="1">
      <alignment horizontal="center"/>
      <protection locked="0"/>
    </xf>
    <xf numFmtId="49" fontId="0" fillId="3" borderId="36" xfId="0" applyNumberFormat="1" applyFill="1" applyBorder="1" applyAlignment="1" applyProtection="1">
      <alignment horizontal="center"/>
      <protection locked="0"/>
    </xf>
    <xf numFmtId="3" fontId="0" fillId="3" borderId="1" xfId="0" applyNumberFormat="1" applyFill="1" applyBorder="1" applyAlignment="1" applyProtection="1">
      <alignment vertical="center"/>
      <protection locked="0"/>
    </xf>
    <xf numFmtId="3" fontId="0" fillId="3" borderId="37" xfId="0" applyNumberFormat="1" applyFill="1" applyBorder="1" applyAlignment="1" applyProtection="1">
      <alignment vertical="center"/>
      <protection locked="0"/>
    </xf>
    <xf numFmtId="3" fontId="0" fillId="3" borderId="14" xfId="0" applyNumberFormat="1" applyFill="1" applyBorder="1" applyAlignment="1" applyProtection="1">
      <alignment vertical="center"/>
      <protection locked="0"/>
    </xf>
    <xf numFmtId="3" fontId="0" fillId="3" borderId="20" xfId="0" applyNumberFormat="1" applyFill="1" applyBorder="1" applyAlignment="1" applyProtection="1">
      <alignment vertical="center"/>
      <protection locked="0"/>
    </xf>
    <xf numFmtId="3" fontId="0" fillId="3" borderId="19" xfId="0" applyNumberFormat="1" applyFill="1" applyBorder="1" applyAlignment="1" applyProtection="1">
      <alignment vertical="center"/>
      <protection locked="0"/>
    </xf>
    <xf numFmtId="3" fontId="0" fillId="3" borderId="9" xfId="0" applyNumberFormat="1" applyFill="1" applyBorder="1" applyAlignment="1" applyProtection="1">
      <alignment vertical="center"/>
      <protection locked="0"/>
    </xf>
    <xf numFmtId="3" fontId="0" fillId="3" borderId="10" xfId="0" applyNumberFormat="1" applyFill="1" applyBorder="1" applyAlignment="1" applyProtection="1">
      <alignment vertical="center"/>
      <protection locked="0"/>
    </xf>
    <xf numFmtId="3" fontId="0" fillId="3" borderId="28" xfId="0" applyNumberFormat="1" applyFill="1" applyBorder="1" applyAlignment="1" applyProtection="1">
      <alignment vertical="center"/>
      <protection locked="0"/>
    </xf>
    <xf numFmtId="3" fontId="0" fillId="3" borderId="31" xfId="0" applyNumberFormat="1" applyFill="1" applyBorder="1" applyAlignment="1" applyProtection="1">
      <alignment vertical="center"/>
      <protection locked="0"/>
    </xf>
    <xf numFmtId="3" fontId="0" fillId="3" borderId="30" xfId="0" applyNumberFormat="1" applyFill="1" applyBorder="1" applyAlignment="1" applyProtection="1">
      <alignment vertical="center"/>
      <protection locked="0"/>
    </xf>
    <xf numFmtId="3" fontId="0" fillId="3" borderId="34" xfId="0" applyNumberFormat="1" applyFill="1" applyBorder="1" applyAlignment="1" applyProtection="1">
      <alignment vertical="center"/>
      <protection locked="0"/>
    </xf>
    <xf numFmtId="3" fontId="0" fillId="3" borderId="29" xfId="0" applyNumberFormat="1" applyFill="1" applyBorder="1" applyAlignment="1" applyProtection="1">
      <alignment vertical="center"/>
      <protection locked="0"/>
    </xf>
    <xf numFmtId="3" fontId="0" fillId="3" borderId="32" xfId="0" applyNumberFormat="1" applyFill="1" applyBorder="1" applyAlignment="1" applyProtection="1">
      <alignment vertical="center"/>
      <protection locked="0"/>
    </xf>
    <xf numFmtId="3" fontId="0" fillId="3" borderId="33" xfId="0" applyNumberFormat="1" applyFill="1" applyBorder="1" applyAlignment="1" applyProtection="1">
      <alignment vertical="center"/>
      <protection locked="0"/>
    </xf>
    <xf numFmtId="3" fontId="0" fillId="3" borderId="69" xfId="0" applyNumberFormat="1" applyFill="1" applyBorder="1" applyAlignment="1" applyProtection="1">
      <alignment vertical="center"/>
      <protection locked="0"/>
    </xf>
    <xf numFmtId="3" fontId="0" fillId="3" borderId="11" xfId="0" applyNumberFormat="1" applyFill="1" applyBorder="1" applyAlignment="1" applyProtection="1">
      <alignment vertical="center"/>
      <protection locked="0"/>
    </xf>
    <xf numFmtId="186" fontId="0" fillId="3" borderId="39" xfId="0" applyNumberFormat="1" applyFill="1" applyBorder="1" applyAlignment="1" applyProtection="1">
      <alignment horizontal="center" vertical="center"/>
      <protection locked="0"/>
    </xf>
    <xf numFmtId="3" fontId="11" fillId="3" borderId="1" xfId="0" applyNumberFormat="1" applyFont="1" applyFill="1" applyBorder="1" applyAlignment="1" applyProtection="1">
      <alignment vertical="center"/>
      <protection locked="0"/>
    </xf>
    <xf numFmtId="0" fontId="35" fillId="0" borderId="0" xfId="0" applyFont="1"/>
    <xf numFmtId="0" fontId="1" fillId="3" borderId="1" xfId="0" applyNumberFormat="1" applyFont="1" applyFill="1" applyBorder="1" applyProtection="1">
      <protection locked="0"/>
    </xf>
    <xf numFmtId="3" fontId="1" fillId="3" borderId="1" xfId="0" applyNumberFormat="1" applyFont="1" applyFill="1" applyBorder="1" applyProtection="1">
      <protection locked="0"/>
    </xf>
    <xf numFmtId="3" fontId="1" fillId="7" borderId="36" xfId="0" applyNumberFormat="1" applyFont="1" applyFill="1" applyBorder="1" applyAlignment="1">
      <alignment horizontal="center"/>
    </xf>
    <xf numFmtId="0" fontId="22" fillId="0" borderId="0" xfId="0" applyFont="1"/>
    <xf numFmtId="0" fontId="1" fillId="12" borderId="39" xfId="0" applyFont="1" applyFill="1" applyBorder="1" applyAlignment="1" applyProtection="1">
      <alignment horizontal="center"/>
      <protection locked="0"/>
    </xf>
    <xf numFmtId="164" fontId="1" fillId="12" borderId="69" xfId="0" applyNumberFormat="1" applyFont="1" applyFill="1" applyBorder="1" applyAlignment="1" applyProtection="1">
      <alignment horizontal="center"/>
      <protection locked="0"/>
    </xf>
    <xf numFmtId="3" fontId="1" fillId="12" borderId="69" xfId="0" applyNumberFormat="1" applyFont="1" applyFill="1" applyBorder="1" applyAlignment="1" applyProtection="1">
      <alignment horizontal="center"/>
      <protection locked="0"/>
    </xf>
    <xf numFmtId="4" fontId="1" fillId="12" borderId="39" xfId="0" applyNumberFormat="1" applyFont="1"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7" borderId="9" xfId="0" applyNumberFormat="1" applyFill="1" applyBorder="1" applyProtection="1"/>
    <xf numFmtId="0" fontId="0" fillId="7" borderId="37" xfId="0" applyNumberFormat="1" applyFill="1" applyBorder="1" applyProtection="1"/>
    <xf numFmtId="0" fontId="0" fillId="3" borderId="9" xfId="0" applyNumberFormat="1" applyFill="1" applyBorder="1" applyAlignment="1" applyProtection="1">
      <alignment horizontal="center" vertical="center"/>
      <protection locked="0"/>
    </xf>
    <xf numFmtId="182" fontId="10" fillId="5" borderId="9" xfId="0" applyNumberFormat="1" applyFont="1" applyFill="1" applyBorder="1" applyAlignment="1" applyProtection="1">
      <alignment horizontal="center" vertical="center"/>
    </xf>
    <xf numFmtId="0" fontId="0" fillId="7" borderId="40" xfId="0" applyNumberFormat="1" applyFill="1" applyBorder="1" applyProtection="1"/>
    <xf numFmtId="174" fontId="0" fillId="7" borderId="40" xfId="0" applyNumberFormat="1" applyFill="1" applyBorder="1" applyAlignment="1" applyProtection="1">
      <alignment horizontal="center" vertical="center"/>
    </xf>
    <xf numFmtId="175" fontId="0" fillId="7" borderId="40" xfId="0" applyNumberFormat="1" applyFill="1" applyBorder="1" applyAlignment="1" applyProtection="1">
      <alignment horizontal="center" vertical="center"/>
    </xf>
    <xf numFmtId="182" fontId="0" fillId="7" borderId="40" xfId="0" applyNumberFormat="1" applyFill="1" applyBorder="1" applyAlignment="1" applyProtection="1">
      <alignment horizontal="center" vertical="center"/>
    </xf>
    <xf numFmtId="0" fontId="36" fillId="0" borderId="0" xfId="0" applyFont="1" applyFill="1"/>
    <xf numFmtId="189" fontId="0" fillId="7" borderId="1" xfId="0" applyNumberFormat="1" applyFill="1" applyBorder="1" applyAlignment="1" applyProtection="1">
      <alignment horizontal="center" vertical="center"/>
    </xf>
    <xf numFmtId="190" fontId="0" fillId="7" borderId="1" xfId="0" applyNumberFormat="1" applyFill="1" applyBorder="1" applyAlignment="1" applyProtection="1">
      <alignment horizontal="center" vertical="center"/>
    </xf>
    <xf numFmtId="173" fontId="0" fillId="3" borderId="37" xfId="0" applyNumberFormat="1" applyFill="1" applyBorder="1" applyAlignment="1" applyProtection="1">
      <alignment horizontal="center" vertical="center"/>
      <protection locked="0"/>
    </xf>
    <xf numFmtId="173" fontId="0" fillId="3" borderId="40" xfId="0" applyNumberFormat="1" applyFill="1" applyBorder="1" applyAlignment="1" applyProtection="1">
      <alignment horizontal="center" vertical="center"/>
      <protection locked="0"/>
    </xf>
    <xf numFmtId="0" fontId="2" fillId="5" borderId="37" xfId="0" applyFont="1" applyFill="1" applyBorder="1" applyAlignment="1">
      <alignment horizontal="center" vertical="center" wrapText="1"/>
    </xf>
    <xf numFmtId="0" fontId="0" fillId="3" borderId="37" xfId="0" applyNumberFormat="1" applyFill="1" applyBorder="1" applyAlignment="1" applyProtection="1">
      <alignment horizontal="center"/>
      <protection locked="0"/>
    </xf>
    <xf numFmtId="0" fontId="0" fillId="7" borderId="1" xfId="0" applyNumberFormat="1" applyFill="1" applyBorder="1" applyAlignment="1" applyProtection="1">
      <alignment horizontal="center" vertical="center"/>
    </xf>
    <xf numFmtId="0" fontId="18" fillId="0" borderId="0" xfId="0" applyFont="1" applyFill="1"/>
    <xf numFmtId="0" fontId="13" fillId="0" borderId="0" xfId="0" applyFont="1" applyFill="1" applyAlignment="1">
      <alignment vertical="center"/>
    </xf>
    <xf numFmtId="0" fontId="39" fillId="0" borderId="0" xfId="0" applyFont="1" applyFill="1" applyAlignment="1">
      <alignment horizontal="left" vertical="center"/>
    </xf>
    <xf numFmtId="0" fontId="38" fillId="0" borderId="0" xfId="0" applyFont="1" applyFill="1" applyAlignment="1">
      <alignment horizontal="left" vertical="center"/>
    </xf>
    <xf numFmtId="0" fontId="8" fillId="0" borderId="0" xfId="4" applyFont="1" applyFill="1"/>
    <xf numFmtId="0" fontId="18" fillId="5" borderId="0" xfId="0" applyFont="1" applyFill="1" applyAlignment="1">
      <alignment vertical="center"/>
    </xf>
    <xf numFmtId="0" fontId="0" fillId="5" borderId="0" xfId="0" applyFill="1" applyAlignment="1">
      <alignment vertical="center"/>
    </xf>
    <xf numFmtId="0" fontId="8" fillId="5" borderId="0" xfId="4" applyFont="1" applyFill="1" applyAlignment="1">
      <alignment vertical="center"/>
    </xf>
    <xf numFmtId="0" fontId="4" fillId="5" borderId="0" xfId="0" applyFont="1" applyFill="1" applyAlignment="1">
      <alignment vertical="center"/>
    </xf>
    <xf numFmtId="0" fontId="18" fillId="0" borderId="0" xfId="0" applyFont="1" applyFill="1" applyAlignment="1">
      <alignment vertical="center"/>
    </xf>
    <xf numFmtId="0" fontId="8" fillId="0" borderId="0" xfId="4" applyFont="1" applyFill="1" applyAlignment="1">
      <alignment vertical="center"/>
    </xf>
    <xf numFmtId="3" fontId="0" fillId="8" borderId="41" xfId="0" applyNumberFormat="1" applyFill="1" applyBorder="1" applyAlignment="1">
      <alignment vertical="center"/>
    </xf>
    <xf numFmtId="0" fontId="38" fillId="0" borderId="0" xfId="0" applyFont="1" applyFill="1" applyAlignment="1">
      <alignment vertical="center"/>
    </xf>
    <xf numFmtId="0" fontId="40" fillId="0" borderId="0" xfId="0" applyFont="1" applyFill="1" applyAlignment="1">
      <alignment vertical="center"/>
    </xf>
    <xf numFmtId="0" fontId="31" fillId="6" borderId="37" xfId="0" applyFont="1" applyFill="1" applyBorder="1" applyAlignment="1">
      <alignment vertical="center"/>
    </xf>
    <xf numFmtId="0" fontId="0" fillId="0" borderId="0" xfId="0" applyFill="1" applyAlignment="1" applyProtection="1">
      <alignment vertical="center"/>
    </xf>
    <xf numFmtId="0" fontId="38" fillId="0" borderId="0" xfId="0" applyFont="1" applyFill="1" applyProtection="1"/>
    <xf numFmtId="0" fontId="39" fillId="0" borderId="0" xfId="0" applyFont="1" applyFill="1" applyAlignment="1" applyProtection="1">
      <alignment vertical="center"/>
    </xf>
    <xf numFmtId="0" fontId="38" fillId="0" borderId="0" xfId="0" applyFont="1" applyFill="1" applyAlignment="1" applyProtection="1">
      <alignment vertical="center"/>
    </xf>
    <xf numFmtId="0" fontId="31" fillId="6" borderId="37" xfId="0" applyFont="1" applyFill="1" applyBorder="1" applyAlignment="1" applyProtection="1">
      <alignment vertical="center"/>
    </xf>
    <xf numFmtId="0" fontId="1" fillId="6" borderId="37" xfId="0" applyFont="1" applyFill="1" applyBorder="1" applyAlignment="1" applyProtection="1">
      <alignment vertical="center"/>
    </xf>
    <xf numFmtId="0" fontId="20" fillId="0" borderId="43" xfId="0" applyFont="1" applyBorder="1" applyAlignment="1" applyProtection="1">
      <alignment horizontal="center" vertical="center"/>
    </xf>
    <xf numFmtId="0" fontId="21" fillId="0" borderId="0" xfId="0" applyFont="1" applyAlignment="1" applyProtection="1">
      <alignment vertical="center"/>
    </xf>
    <xf numFmtId="0" fontId="22" fillId="0" borderId="0" xfId="0" applyFont="1" applyAlignment="1" applyProtection="1">
      <alignment vertical="center"/>
    </xf>
    <xf numFmtId="0" fontId="26" fillId="3" borderId="37" xfId="0" applyFont="1" applyFill="1" applyBorder="1" applyAlignment="1" applyProtection="1">
      <alignment vertical="center"/>
    </xf>
    <xf numFmtId="9" fontId="0" fillId="0" borderId="43" xfId="1" applyFont="1" applyBorder="1" applyAlignment="1" applyProtection="1">
      <alignment horizontal="center" vertical="center"/>
      <protection locked="0"/>
    </xf>
    <xf numFmtId="0" fontId="41" fillId="5" borderId="0" xfId="0" applyFont="1" applyFill="1" applyAlignment="1" applyProtection="1">
      <alignment vertical="center"/>
    </xf>
    <xf numFmtId="0" fontId="42" fillId="5" borderId="0" xfId="0" applyFont="1" applyFill="1" applyAlignment="1" applyProtection="1">
      <alignment vertical="center"/>
    </xf>
    <xf numFmtId="0" fontId="31" fillId="13" borderId="37" xfId="0" applyFont="1" applyFill="1" applyBorder="1" applyAlignment="1">
      <alignment horizontal="center" vertical="center" wrapText="1"/>
    </xf>
    <xf numFmtId="0" fontId="0" fillId="0" borderId="37" xfId="0" applyBorder="1" applyAlignment="1">
      <alignment vertical="center"/>
    </xf>
    <xf numFmtId="0" fontId="13" fillId="5" borderId="37" xfId="0" applyFont="1" applyFill="1" applyBorder="1" applyAlignment="1">
      <alignment vertical="center"/>
    </xf>
    <xf numFmtId="0" fontId="13" fillId="5" borderId="37" xfId="0" applyFont="1" applyFill="1" applyBorder="1" applyAlignment="1">
      <alignment horizontal="center" vertical="center"/>
    </xf>
    <xf numFmtId="0" fontId="13" fillId="0" borderId="37" xfId="0" applyFont="1" applyBorder="1" applyAlignment="1">
      <alignment vertical="center"/>
    </xf>
    <xf numFmtId="0" fontId="0" fillId="5" borderId="37" xfId="0" applyFill="1" applyBorder="1" applyAlignment="1">
      <alignment vertical="center"/>
    </xf>
    <xf numFmtId="0" fontId="2" fillId="2" borderId="37" xfId="0" applyFont="1" applyFill="1" applyBorder="1" applyAlignment="1">
      <alignment horizontal="center" vertical="center"/>
    </xf>
    <xf numFmtId="0" fontId="0" fillId="5" borderId="37" xfId="0" applyFill="1" applyBorder="1" applyAlignment="1">
      <alignment horizontal="center" vertical="center"/>
    </xf>
    <xf numFmtId="0" fontId="0" fillId="5" borderId="39" xfId="0" applyFill="1" applyBorder="1" applyAlignment="1">
      <alignment vertical="center"/>
    </xf>
    <xf numFmtId="49" fontId="2" fillId="0" borderId="0" xfId="0" applyNumberFormat="1" applyFont="1" applyAlignment="1">
      <alignment vertical="center"/>
    </xf>
    <xf numFmtId="0" fontId="2" fillId="0" borderId="37" xfId="0" applyFont="1" applyBorder="1" applyAlignment="1">
      <alignment horizontal="left" vertical="center" wrapText="1"/>
    </xf>
    <xf numFmtId="0" fontId="31" fillId="13" borderId="36" xfId="0" applyFont="1" applyFill="1" applyBorder="1" applyAlignment="1">
      <alignment horizontal="left" vertical="center" wrapText="1"/>
    </xf>
    <xf numFmtId="0" fontId="2" fillId="0" borderId="37" xfId="0" applyFont="1" applyBorder="1" applyAlignment="1">
      <alignment vertical="center" wrapText="1"/>
    </xf>
    <xf numFmtId="0" fontId="2" fillId="5" borderId="37" xfId="0" applyFont="1" applyFill="1" applyBorder="1" applyAlignment="1">
      <alignment vertical="center"/>
    </xf>
    <xf numFmtId="0" fontId="2" fillId="5" borderId="36" xfId="0" applyFont="1" applyFill="1" applyBorder="1" applyAlignment="1">
      <alignment vertical="center"/>
    </xf>
    <xf numFmtId="0" fontId="44" fillId="0" borderId="0" xfId="4" applyFont="1"/>
    <xf numFmtId="0" fontId="44" fillId="0" borderId="0" xfId="4" applyFont="1" applyAlignment="1">
      <alignment vertical="top" wrapText="1"/>
    </xf>
    <xf numFmtId="0" fontId="28" fillId="0" borderId="0" xfId="4" applyFont="1"/>
    <xf numFmtId="0" fontId="48" fillId="0" borderId="0" xfId="4" applyFont="1" applyAlignment="1">
      <alignment horizontal="center" vertical="center"/>
    </xf>
    <xf numFmtId="0" fontId="44" fillId="0" borderId="0" xfId="4" applyFont="1" applyAlignment="1">
      <alignment vertical="center"/>
    </xf>
    <xf numFmtId="0" fontId="45" fillId="0" borderId="84" xfId="4" applyFont="1" applyBorder="1" applyAlignment="1">
      <alignment horizontal="center" vertical="center"/>
    </xf>
    <xf numFmtId="0" fontId="45" fillId="0" borderId="85" xfId="4" applyFont="1" applyBorder="1" applyAlignment="1">
      <alignment horizontal="center" vertical="center" wrapText="1"/>
    </xf>
    <xf numFmtId="193" fontId="45" fillId="0" borderId="86" xfId="4" applyNumberFormat="1" applyFont="1" applyBorder="1" applyAlignment="1">
      <alignment horizontal="center" vertical="center" wrapText="1"/>
    </xf>
    <xf numFmtId="193" fontId="45" fillId="0" borderId="87" xfId="4" applyNumberFormat="1" applyFont="1" applyBorder="1" applyAlignment="1">
      <alignment horizontal="center" vertical="center" wrapText="1"/>
    </xf>
    <xf numFmtId="0" fontId="48" fillId="0" borderId="0" xfId="4" applyFont="1" applyAlignment="1">
      <alignment horizontal="left" vertical="center"/>
    </xf>
    <xf numFmtId="0" fontId="45" fillId="0" borderId="88" xfId="4" applyFont="1" applyBorder="1" applyAlignment="1">
      <alignment horizontal="center" vertical="center" wrapText="1"/>
    </xf>
    <xf numFmtId="193" fontId="45" fillId="0" borderId="89" xfId="4" applyNumberFormat="1" applyFont="1" applyBorder="1" applyAlignment="1">
      <alignment horizontal="center" vertical="center" wrapText="1"/>
    </xf>
    <xf numFmtId="193" fontId="45" fillId="0" borderId="90" xfId="4" applyNumberFormat="1" applyFont="1" applyBorder="1" applyAlignment="1">
      <alignment horizontal="center" vertical="center" wrapText="1"/>
    </xf>
    <xf numFmtId="0" fontId="51" fillId="17" borderId="91" xfId="4" applyFont="1" applyFill="1" applyBorder="1" applyAlignment="1">
      <alignment horizontal="center" vertical="center"/>
    </xf>
    <xf numFmtId="0" fontId="51" fillId="17" borderId="92" xfId="4" applyFont="1" applyFill="1" applyBorder="1" applyAlignment="1">
      <alignment horizontal="left" vertical="center" wrapText="1"/>
    </xf>
    <xf numFmtId="193" fontId="51" fillId="17" borderId="93" xfId="4" applyNumberFormat="1" applyFont="1" applyFill="1" applyBorder="1" applyAlignment="1">
      <alignment horizontal="center" vertical="center"/>
    </xf>
    <xf numFmtId="193" fontId="51" fillId="17" borderId="94" xfId="4" applyNumberFormat="1" applyFont="1" applyFill="1" applyBorder="1" applyAlignment="1">
      <alignment horizontal="center" vertical="center"/>
    </xf>
    <xf numFmtId="0" fontId="51" fillId="17" borderId="95" xfId="4" applyFont="1" applyFill="1" applyBorder="1" applyAlignment="1">
      <alignment horizontal="left" vertical="top" wrapText="1"/>
    </xf>
    <xf numFmtId="193" fontId="51" fillId="17" borderId="0" xfId="4" applyNumberFormat="1" applyFont="1" applyFill="1" applyAlignment="1">
      <alignment horizontal="center" vertical="center"/>
    </xf>
    <xf numFmtId="0" fontId="44" fillId="0" borderId="96" xfId="4" applyFont="1" applyBorder="1"/>
    <xf numFmtId="0" fontId="45" fillId="0" borderId="83" xfId="4" applyFont="1" applyBorder="1" applyAlignment="1">
      <alignment horizontal="center" vertical="center"/>
    </xf>
    <xf numFmtId="0" fontId="44" fillId="0" borderId="36" xfId="4" applyFont="1" applyBorder="1" applyAlignment="1">
      <alignment vertical="center" wrapText="1"/>
    </xf>
    <xf numFmtId="193" fontId="44" fillId="0" borderId="97" xfId="4" applyNumberFormat="1" applyFont="1" applyBorder="1" applyAlignment="1">
      <alignment horizontal="center" vertical="center"/>
    </xf>
    <xf numFmtId="193" fontId="44" fillId="2" borderId="98" xfId="4" applyNumberFormat="1" applyFont="1" applyFill="1" applyBorder="1" applyAlignment="1">
      <alignment horizontal="center" vertical="center"/>
    </xf>
    <xf numFmtId="0" fontId="44" fillId="0" borderId="99" xfId="4" applyFont="1" applyBorder="1" applyAlignment="1">
      <alignment horizontal="left" vertical="top" wrapText="1"/>
    </xf>
    <xf numFmtId="0" fontId="44" fillId="0" borderId="100" xfId="4" applyFont="1" applyBorder="1"/>
    <xf numFmtId="0" fontId="44" fillId="0" borderId="101" xfId="4" applyFont="1" applyBorder="1"/>
    <xf numFmtId="0" fontId="44" fillId="0" borderId="102" xfId="4" applyFont="1" applyBorder="1" applyAlignment="1">
      <alignment vertical="top" wrapText="1"/>
    </xf>
    <xf numFmtId="193" fontId="44" fillId="0" borderId="103" xfId="4" applyNumberFormat="1" applyFont="1" applyBorder="1" applyAlignment="1">
      <alignment horizontal="center" vertical="center"/>
    </xf>
    <xf numFmtId="193" fontId="44" fillId="2" borderId="104" xfId="4" applyNumberFormat="1" applyFont="1" applyFill="1" applyBorder="1" applyAlignment="1">
      <alignment horizontal="center" vertical="center"/>
    </xf>
    <xf numFmtId="0" fontId="44" fillId="0" borderId="105" xfId="4" applyFont="1" applyBorder="1" applyAlignment="1">
      <alignment horizontal="left" vertical="top" wrapText="1"/>
    </xf>
    <xf numFmtId="0" fontId="44" fillId="0" borderId="106" xfId="4" applyFont="1" applyBorder="1"/>
    <xf numFmtId="0" fontId="44" fillId="0" borderId="107" xfId="4" applyFont="1" applyBorder="1" applyAlignment="1">
      <alignment horizontal="left" vertical="top" wrapText="1"/>
    </xf>
    <xf numFmtId="193" fontId="44" fillId="0" borderId="108" xfId="4" applyNumberFormat="1" applyFont="1" applyBorder="1" applyAlignment="1">
      <alignment horizontal="center" vertical="center"/>
    </xf>
    <xf numFmtId="193" fontId="44" fillId="2" borderId="109" xfId="4" applyNumberFormat="1" applyFont="1" applyFill="1" applyBorder="1" applyAlignment="1">
      <alignment horizontal="center" vertical="center"/>
    </xf>
    <xf numFmtId="0" fontId="44" fillId="0" borderId="110" xfId="4" applyFont="1" applyBorder="1" applyAlignment="1">
      <alignment horizontal="left" vertical="top" wrapText="1"/>
    </xf>
    <xf numFmtId="0" fontId="44" fillId="0" borderId="111" xfId="4" applyFont="1" applyBorder="1"/>
    <xf numFmtId="0" fontId="44" fillId="0" borderId="112" xfId="4" applyFont="1" applyBorder="1"/>
    <xf numFmtId="0" fontId="44" fillId="0" borderId="113" xfId="4" applyFont="1" applyBorder="1" applyAlignment="1">
      <alignment horizontal="left" vertical="top" wrapText="1"/>
    </xf>
    <xf numFmtId="193" fontId="44" fillId="0" borderId="114" xfId="4" applyNumberFormat="1" applyFont="1" applyBorder="1" applyAlignment="1">
      <alignment horizontal="center" vertical="center"/>
    </xf>
    <xf numFmtId="193" fontId="44" fillId="2" borderId="115" xfId="4" applyNumberFormat="1" applyFont="1" applyFill="1" applyBorder="1" applyAlignment="1">
      <alignment horizontal="center" vertical="center"/>
    </xf>
    <xf numFmtId="0" fontId="45" fillId="18" borderId="116" xfId="4" applyFont="1" applyFill="1" applyBorder="1" applyAlignment="1">
      <alignment horizontal="left" vertical="center" wrapText="1"/>
    </xf>
    <xf numFmtId="193" fontId="44" fillId="19" borderId="117" xfId="4" applyNumberFormat="1" applyFont="1" applyFill="1" applyBorder="1" applyAlignment="1">
      <alignment horizontal="center" vertical="center"/>
    </xf>
    <xf numFmtId="0" fontId="44" fillId="0" borderId="118" xfId="4" applyFont="1" applyBorder="1"/>
    <xf numFmtId="0" fontId="51" fillId="17" borderId="119" xfId="4" applyFont="1" applyFill="1" applyBorder="1" applyAlignment="1">
      <alignment horizontal="center" vertical="center"/>
    </xf>
    <xf numFmtId="0" fontId="51" fillId="17" borderId="0" xfId="4" applyFont="1" applyFill="1" applyAlignment="1">
      <alignment horizontal="left" vertical="center" wrapText="1"/>
    </xf>
    <xf numFmtId="193" fontId="51" fillId="17" borderId="114" xfId="4" applyNumberFormat="1" applyFont="1" applyFill="1" applyBorder="1" applyAlignment="1">
      <alignment horizontal="center" vertical="center"/>
    </xf>
    <xf numFmtId="193" fontId="51" fillId="17" borderId="115" xfId="4" applyNumberFormat="1" applyFont="1" applyFill="1" applyBorder="1" applyAlignment="1">
      <alignment horizontal="center" vertical="center"/>
    </xf>
    <xf numFmtId="0" fontId="44" fillId="0" borderId="120" xfId="4" applyFont="1" applyBorder="1" applyAlignment="1">
      <alignment horizontal="left" vertical="top" wrapText="1"/>
    </xf>
    <xf numFmtId="193" fontId="44" fillId="0" borderId="121" xfId="4" applyNumberFormat="1" applyFont="1" applyBorder="1"/>
    <xf numFmtId="0" fontId="44" fillId="0" borderId="122" xfId="4" applyFont="1" applyBorder="1" applyAlignment="1">
      <alignment horizontal="left" vertical="top" wrapText="1"/>
    </xf>
    <xf numFmtId="193" fontId="44" fillId="0" borderId="123" xfId="4" applyNumberFormat="1" applyFont="1" applyBorder="1" applyAlignment="1">
      <alignment horizontal="center" vertical="center"/>
    </xf>
    <xf numFmtId="193" fontId="44" fillId="2" borderId="124" xfId="4" applyNumberFormat="1" applyFont="1" applyFill="1" applyBorder="1" applyAlignment="1">
      <alignment horizontal="center" vertical="center"/>
    </xf>
    <xf numFmtId="0" fontId="44" fillId="0" borderId="125" xfId="4" applyFont="1" applyBorder="1" applyAlignment="1">
      <alignment horizontal="left" vertical="top" wrapText="1"/>
    </xf>
    <xf numFmtId="193" fontId="44" fillId="0" borderId="126" xfId="4" applyNumberFormat="1" applyFont="1" applyBorder="1"/>
    <xf numFmtId="0" fontId="44" fillId="0" borderId="127" xfId="4" applyFont="1" applyBorder="1"/>
    <xf numFmtId="0" fontId="44" fillId="0" borderId="128" xfId="4" applyFont="1" applyBorder="1" applyAlignment="1">
      <alignment horizontal="left" vertical="top" wrapText="1"/>
    </xf>
    <xf numFmtId="193" fontId="44" fillId="0" borderId="129" xfId="4" applyNumberFormat="1" applyFont="1" applyBorder="1" applyAlignment="1">
      <alignment horizontal="center" vertical="center"/>
    </xf>
    <xf numFmtId="193" fontId="44" fillId="2" borderId="130" xfId="4" applyNumberFormat="1" applyFont="1" applyFill="1" applyBorder="1" applyAlignment="1">
      <alignment horizontal="center" vertical="center"/>
    </xf>
    <xf numFmtId="0" fontId="44" fillId="0" borderId="131" xfId="4" applyFont="1" applyBorder="1" applyAlignment="1">
      <alignment horizontal="left" vertical="top" wrapText="1"/>
    </xf>
    <xf numFmtId="0" fontId="44" fillId="0" borderId="132" xfId="4" applyFont="1" applyBorder="1"/>
    <xf numFmtId="0" fontId="44" fillId="0" borderId="133" xfId="4" applyFont="1" applyBorder="1" applyAlignment="1">
      <alignment horizontal="left" vertical="top" wrapText="1"/>
    </xf>
    <xf numFmtId="193" fontId="44" fillId="0" borderId="134" xfId="4" applyNumberFormat="1" applyFont="1" applyBorder="1" applyAlignment="1">
      <alignment horizontal="center" vertical="center"/>
    </xf>
    <xf numFmtId="193" fontId="44" fillId="2" borderId="135" xfId="4" applyNumberFormat="1" applyFont="1" applyFill="1" applyBorder="1" applyAlignment="1">
      <alignment horizontal="center" vertical="center"/>
    </xf>
    <xf numFmtId="0" fontId="45" fillId="18" borderId="136" xfId="4" applyFont="1" applyFill="1" applyBorder="1" applyAlignment="1">
      <alignment horizontal="left" vertical="center" wrapText="1"/>
    </xf>
    <xf numFmtId="193" fontId="44" fillId="19" borderId="126" xfId="4" applyNumberFormat="1" applyFont="1" applyFill="1" applyBorder="1" applyAlignment="1">
      <alignment horizontal="center" vertical="center"/>
    </xf>
    <xf numFmtId="0" fontId="44" fillId="0" borderId="137" xfId="4" applyFont="1" applyBorder="1"/>
    <xf numFmtId="0" fontId="44" fillId="0" borderId="138" xfId="4" applyFont="1" applyBorder="1" applyAlignment="1">
      <alignment horizontal="left" vertical="top" wrapText="1"/>
    </xf>
    <xf numFmtId="193" fontId="44" fillId="0" borderId="139" xfId="4" applyNumberFormat="1" applyFont="1" applyBorder="1" applyAlignment="1">
      <alignment horizontal="center" vertical="center"/>
    </xf>
    <xf numFmtId="193" fontId="44" fillId="2" borderId="140" xfId="4" applyNumberFormat="1" applyFont="1" applyFill="1" applyBorder="1" applyAlignment="1">
      <alignment horizontal="center" vertical="center"/>
    </xf>
    <xf numFmtId="0" fontId="44" fillId="0" borderId="141" xfId="4" applyFont="1" applyBorder="1" applyAlignment="1">
      <alignment vertical="top" wrapText="1"/>
    </xf>
    <xf numFmtId="0" fontId="44" fillId="0" borderId="142" xfId="4" applyFont="1" applyBorder="1"/>
    <xf numFmtId="0" fontId="44" fillId="0" borderId="143" xfId="4" applyFont="1" applyBorder="1" applyAlignment="1">
      <alignment horizontal="left" vertical="top" wrapText="1"/>
    </xf>
    <xf numFmtId="193" fontId="44" fillId="0" borderId="144" xfId="4" applyNumberFormat="1" applyFont="1" applyBorder="1" applyAlignment="1">
      <alignment horizontal="center" vertical="center"/>
    </xf>
    <xf numFmtId="193" fontId="44" fillId="2" borderId="145" xfId="4" applyNumberFormat="1" applyFont="1" applyFill="1" applyBorder="1" applyAlignment="1">
      <alignment horizontal="center" vertical="center"/>
    </xf>
    <xf numFmtId="0" fontId="44" fillId="0" borderId="146" xfId="4" applyFont="1" applyBorder="1" applyAlignment="1">
      <alignment vertical="top" wrapText="1"/>
    </xf>
    <xf numFmtId="0" fontId="44" fillId="0" borderId="147" xfId="4" applyFont="1" applyBorder="1"/>
    <xf numFmtId="0" fontId="44" fillId="0" borderId="148" xfId="4" applyFont="1" applyBorder="1" applyAlignment="1">
      <alignment horizontal="left" vertical="top" wrapText="1"/>
    </xf>
    <xf numFmtId="193" fontId="44" fillId="0" borderId="149" xfId="4" applyNumberFormat="1" applyFont="1" applyBorder="1" applyAlignment="1">
      <alignment horizontal="center" vertical="center"/>
    </xf>
    <xf numFmtId="193" fontId="44" fillId="2" borderId="150" xfId="4" applyNumberFormat="1" applyFont="1" applyFill="1" applyBorder="1" applyAlignment="1">
      <alignment horizontal="center" vertical="center"/>
    </xf>
    <xf numFmtId="0" fontId="44" fillId="0" borderId="151" xfId="4" applyFont="1" applyBorder="1" applyAlignment="1">
      <alignment vertical="top" wrapText="1"/>
    </xf>
    <xf numFmtId="0" fontId="44" fillId="0" borderId="152" xfId="4" applyFont="1" applyBorder="1"/>
    <xf numFmtId="0" fontId="51" fillId="17" borderId="153" xfId="4" applyFont="1" applyFill="1" applyBorder="1" applyAlignment="1">
      <alignment horizontal="center" vertical="center"/>
    </xf>
    <xf numFmtId="0" fontId="51" fillId="17" borderId="154" xfId="4" applyFont="1" applyFill="1" applyBorder="1" applyAlignment="1">
      <alignment horizontal="left" vertical="top" wrapText="1"/>
    </xf>
    <xf numFmtId="193" fontId="51" fillId="17" borderId="149" xfId="4" applyNumberFormat="1" applyFont="1" applyFill="1" applyBorder="1" applyAlignment="1">
      <alignment horizontal="center" vertical="center"/>
    </xf>
    <xf numFmtId="193" fontId="51" fillId="17" borderId="150" xfId="4" applyNumberFormat="1" applyFont="1" applyFill="1" applyBorder="1" applyAlignment="1">
      <alignment horizontal="center" vertical="center"/>
    </xf>
    <xf numFmtId="0" fontId="44" fillId="0" borderId="155" xfId="4" applyFont="1" applyBorder="1" applyAlignment="1">
      <alignment horizontal="left" vertical="top" wrapText="1"/>
    </xf>
    <xf numFmtId="193" fontId="44" fillId="8" borderId="156" xfId="4" applyNumberFormat="1" applyFont="1" applyFill="1" applyBorder="1" applyAlignment="1">
      <alignment horizontal="center" vertical="center"/>
    </xf>
    <xf numFmtId="193" fontId="44" fillId="2" borderId="157" xfId="4" applyNumberFormat="1" applyFont="1" applyFill="1" applyBorder="1" applyAlignment="1">
      <alignment horizontal="center" vertical="center"/>
    </xf>
    <xf numFmtId="0" fontId="45" fillId="18" borderId="158" xfId="4" applyFont="1" applyFill="1" applyBorder="1" applyAlignment="1">
      <alignment horizontal="left" vertical="top" wrapText="1"/>
    </xf>
    <xf numFmtId="193" fontId="44" fillId="18" borderId="126" xfId="4" applyNumberFormat="1" applyFont="1" applyFill="1" applyBorder="1" applyAlignment="1">
      <alignment horizontal="center" vertical="center"/>
    </xf>
    <xf numFmtId="0" fontId="44" fillId="0" borderId="159" xfId="4" applyFont="1" applyBorder="1"/>
    <xf numFmtId="0" fontId="44" fillId="0" borderId="160" xfId="4" applyFont="1" applyBorder="1" applyAlignment="1">
      <alignment horizontal="left" vertical="top" wrapText="1"/>
    </xf>
    <xf numFmtId="193" fontId="44" fillId="0" borderId="161" xfId="4" applyNumberFormat="1" applyFont="1" applyBorder="1" applyAlignment="1">
      <alignment horizontal="center" vertical="center"/>
    </xf>
    <xf numFmtId="193" fontId="44" fillId="2" borderId="162" xfId="4" applyNumberFormat="1" applyFont="1" applyFill="1" applyBorder="1" applyAlignment="1">
      <alignment horizontal="center" vertical="center"/>
    </xf>
    <xf numFmtId="0" fontId="44" fillId="0" borderId="163" xfId="4" applyFont="1" applyBorder="1" applyAlignment="1">
      <alignment vertical="top" wrapText="1"/>
    </xf>
    <xf numFmtId="0" fontId="44" fillId="0" borderId="126" xfId="4" applyFont="1" applyBorder="1"/>
    <xf numFmtId="0" fontId="44" fillId="0" borderId="164" xfId="4" applyFont="1" applyBorder="1"/>
    <xf numFmtId="0" fontId="44" fillId="0" borderId="165" xfId="4" applyFont="1" applyBorder="1" applyAlignment="1">
      <alignment horizontal="left" vertical="top" wrapText="1"/>
    </xf>
    <xf numFmtId="193" fontId="44" fillId="0" borderId="166" xfId="4" applyNumberFormat="1" applyFont="1" applyBorder="1" applyAlignment="1">
      <alignment horizontal="center" vertical="center"/>
    </xf>
    <xf numFmtId="193" fontId="44" fillId="2" borderId="167" xfId="4" applyNumberFormat="1" applyFont="1" applyFill="1" applyBorder="1" applyAlignment="1">
      <alignment horizontal="center" vertical="center"/>
    </xf>
    <xf numFmtId="0" fontId="44" fillId="0" borderId="168" xfId="4" applyFont="1" applyBorder="1" applyAlignment="1">
      <alignment vertical="top" wrapText="1"/>
    </xf>
    <xf numFmtId="0" fontId="44" fillId="0" borderId="169" xfId="4" applyFont="1" applyBorder="1"/>
    <xf numFmtId="0" fontId="44" fillId="0" borderId="170" xfId="4" applyFont="1" applyBorder="1" applyAlignment="1">
      <alignment horizontal="left" vertical="top" wrapText="1"/>
    </xf>
    <xf numFmtId="193" fontId="44" fillId="0" borderId="171" xfId="4" applyNumberFormat="1" applyFont="1" applyBorder="1" applyAlignment="1">
      <alignment horizontal="center" vertical="center"/>
    </xf>
    <xf numFmtId="193" fontId="44" fillId="2" borderId="172" xfId="4" applyNumberFormat="1" applyFont="1" applyFill="1" applyBorder="1" applyAlignment="1">
      <alignment horizontal="center" vertical="center"/>
    </xf>
    <xf numFmtId="0" fontId="44" fillId="0" borderId="173" xfId="4" applyFont="1" applyBorder="1" applyAlignment="1">
      <alignment vertical="top" wrapText="1"/>
    </xf>
    <xf numFmtId="0" fontId="44" fillId="0" borderId="174" xfId="4" applyFont="1" applyBorder="1"/>
    <xf numFmtId="193" fontId="7" fillId="0" borderId="0" xfId="4" applyNumberFormat="1"/>
    <xf numFmtId="0" fontId="44" fillId="0" borderId="175" xfId="4" applyFont="1" applyBorder="1" applyAlignment="1">
      <alignment horizontal="left" vertical="top" wrapText="1"/>
    </xf>
    <xf numFmtId="193" fontId="44" fillId="0" borderId="176" xfId="4" applyNumberFormat="1" applyFont="1" applyBorder="1" applyAlignment="1">
      <alignment horizontal="center" vertical="center"/>
    </xf>
    <xf numFmtId="193" fontId="44" fillId="2" borderId="177" xfId="4" applyNumberFormat="1" applyFont="1" applyFill="1" applyBorder="1" applyAlignment="1">
      <alignment horizontal="center" vertical="center"/>
    </xf>
    <xf numFmtId="0" fontId="44" fillId="15" borderId="0" xfId="4" applyFont="1" applyFill="1" applyAlignment="1">
      <alignment vertical="center"/>
    </xf>
    <xf numFmtId="0" fontId="45" fillId="18" borderId="178" xfId="4" applyFont="1" applyFill="1" applyBorder="1" applyAlignment="1">
      <alignment horizontal="left" vertical="top" wrapText="1"/>
    </xf>
    <xf numFmtId="0" fontId="44" fillId="0" borderId="179" xfId="4" applyFont="1" applyBorder="1"/>
    <xf numFmtId="0" fontId="44" fillId="0" borderId="180" xfId="4" applyFont="1" applyBorder="1" applyAlignment="1">
      <alignment horizontal="left" vertical="top" wrapText="1"/>
    </xf>
    <xf numFmtId="193" fontId="44" fillId="0" borderId="181" xfId="4" applyNumberFormat="1" applyFont="1" applyBorder="1" applyAlignment="1">
      <alignment horizontal="center" vertical="center"/>
    </xf>
    <xf numFmtId="193" fontId="44" fillId="2" borderId="182" xfId="4" applyNumberFormat="1" applyFont="1" applyFill="1" applyBorder="1" applyAlignment="1">
      <alignment horizontal="center" vertical="center"/>
    </xf>
    <xf numFmtId="0" fontId="44" fillId="0" borderId="183" xfId="4" applyFont="1" applyBorder="1" applyAlignment="1">
      <alignment vertical="top" wrapText="1"/>
    </xf>
    <xf numFmtId="0" fontId="44" fillId="0" borderId="184" xfId="4" applyFont="1" applyBorder="1"/>
    <xf numFmtId="0" fontId="44" fillId="0" borderId="185" xfId="4" applyFont="1" applyBorder="1" applyAlignment="1">
      <alignment vertical="top" wrapText="1"/>
    </xf>
    <xf numFmtId="193" fontId="44" fillId="0" borderId="186" xfId="4" applyNumberFormat="1" applyFont="1" applyBorder="1" applyAlignment="1">
      <alignment horizontal="center" vertical="center"/>
    </xf>
    <xf numFmtId="193" fontId="44" fillId="2" borderId="187" xfId="4" applyNumberFormat="1" applyFont="1" applyFill="1" applyBorder="1" applyAlignment="1">
      <alignment horizontal="center" vertical="center"/>
    </xf>
    <xf numFmtId="0" fontId="44" fillId="0" borderId="188" xfId="4" applyFont="1" applyBorder="1" applyAlignment="1">
      <alignment vertical="top" wrapText="1"/>
    </xf>
    <xf numFmtId="0" fontId="44" fillId="0" borderId="189" xfId="4" applyFont="1" applyBorder="1"/>
    <xf numFmtId="0" fontId="51" fillId="17" borderId="190" xfId="4" applyFont="1" applyFill="1" applyBorder="1" applyAlignment="1">
      <alignment horizontal="center" vertical="center"/>
    </xf>
    <xf numFmtId="0" fontId="51" fillId="17" borderId="191" xfId="4" applyFont="1" applyFill="1" applyBorder="1" applyAlignment="1">
      <alignment horizontal="left" vertical="top" wrapText="1"/>
    </xf>
    <xf numFmtId="193" fontId="51" fillId="17" borderId="186" xfId="4" applyNumberFormat="1" applyFont="1" applyFill="1" applyBorder="1" applyAlignment="1">
      <alignment horizontal="center" vertical="center"/>
    </xf>
    <xf numFmtId="193" fontId="51" fillId="17" borderId="187" xfId="4" applyNumberFormat="1" applyFont="1" applyFill="1" applyBorder="1" applyAlignment="1">
      <alignment horizontal="center" vertical="center"/>
    </xf>
    <xf numFmtId="0" fontId="45" fillId="0" borderId="192" xfId="4" applyFont="1" applyBorder="1" applyAlignment="1">
      <alignment horizontal="center" vertical="center"/>
    </xf>
    <xf numFmtId="0" fontId="44" fillId="0" borderId="193" xfId="4" applyFont="1" applyBorder="1" applyAlignment="1">
      <alignment horizontal="left" vertical="top" wrapText="1"/>
    </xf>
    <xf numFmtId="0" fontId="45" fillId="18" borderId="188" xfId="4" applyFont="1" applyFill="1" applyBorder="1" applyAlignment="1">
      <alignment horizontal="left" vertical="center" wrapText="1"/>
    </xf>
    <xf numFmtId="0" fontId="52" fillId="17" borderId="188" xfId="4" applyFont="1" applyFill="1" applyBorder="1" applyAlignment="1">
      <alignment horizontal="left" vertical="top" wrapText="1"/>
    </xf>
    <xf numFmtId="193" fontId="51" fillId="20" borderId="186" xfId="4" applyNumberFormat="1" applyFont="1" applyFill="1" applyBorder="1" applyAlignment="1">
      <alignment horizontal="center" vertical="center"/>
    </xf>
    <xf numFmtId="193" fontId="53" fillId="21" borderId="194" xfId="4" applyNumberFormat="1" applyFont="1" applyFill="1" applyBorder="1" applyAlignment="1">
      <alignment horizontal="center" vertical="center"/>
    </xf>
    <xf numFmtId="0" fontId="45" fillId="0" borderId="195" xfId="4" applyFont="1" applyBorder="1" applyAlignment="1">
      <alignment horizontal="center" vertical="center"/>
    </xf>
    <xf numFmtId="0" fontId="44" fillId="0" borderId="126" xfId="4" applyFont="1" applyBorder="1" applyAlignment="1">
      <alignment horizontal="left" vertical="top" wrapText="1"/>
    </xf>
    <xf numFmtId="193" fontId="44" fillId="0" borderId="38" xfId="4" applyNumberFormat="1" applyFont="1" applyBorder="1" applyAlignment="1">
      <alignment horizontal="center" vertical="center"/>
    </xf>
    <xf numFmtId="0" fontId="45" fillId="0" borderId="188" xfId="4" applyFont="1" applyBorder="1" applyAlignment="1">
      <alignment horizontal="center" vertical="center"/>
    </xf>
    <xf numFmtId="193" fontId="44" fillId="0" borderId="196" xfId="4" applyNumberFormat="1" applyFont="1" applyBorder="1" applyAlignment="1">
      <alignment horizontal="center" vertical="center"/>
    </xf>
    <xf numFmtId="193" fontId="44" fillId="2" borderId="197" xfId="4" applyNumberFormat="1" applyFont="1" applyFill="1" applyBorder="1" applyAlignment="1">
      <alignment horizontal="center" vertical="center"/>
    </xf>
    <xf numFmtId="0" fontId="44" fillId="0" borderId="198" xfId="4" applyFont="1" applyBorder="1" applyAlignment="1">
      <alignment vertical="top" wrapText="1"/>
    </xf>
    <xf numFmtId="0" fontId="44" fillId="0" borderId="199" xfId="4" applyFont="1" applyBorder="1"/>
    <xf numFmtId="0" fontId="45" fillId="0" borderId="198" xfId="4" applyFont="1" applyBorder="1" applyAlignment="1">
      <alignment horizontal="center" vertical="center"/>
    </xf>
    <xf numFmtId="193" fontId="45" fillId="0" borderId="200" xfId="4" applyNumberFormat="1" applyFont="1" applyBorder="1" applyAlignment="1">
      <alignment horizontal="center" vertical="center"/>
    </xf>
    <xf numFmtId="193" fontId="44" fillId="2" borderId="201" xfId="4" applyNumberFormat="1" applyFont="1" applyFill="1" applyBorder="1" applyAlignment="1">
      <alignment horizontal="center" vertical="center"/>
    </xf>
    <xf numFmtId="0" fontId="52" fillId="17" borderId="202" xfId="4" applyFont="1" applyFill="1" applyBorder="1" applyAlignment="1">
      <alignment horizontal="left" vertical="top" wrapText="1"/>
    </xf>
    <xf numFmtId="0" fontId="44" fillId="0" borderId="203" xfId="4" applyFont="1" applyBorder="1"/>
    <xf numFmtId="0" fontId="45" fillId="0" borderId="202" xfId="4" applyFont="1" applyBorder="1" applyAlignment="1">
      <alignment horizontal="center" vertical="center"/>
    </xf>
    <xf numFmtId="193" fontId="45" fillId="0" borderId="204" xfId="4" applyNumberFormat="1" applyFont="1" applyBorder="1" applyAlignment="1">
      <alignment horizontal="center" vertical="center"/>
    </xf>
    <xf numFmtId="193" fontId="45" fillId="2" borderId="203" xfId="4" applyNumberFormat="1" applyFont="1" applyFill="1" applyBorder="1" applyAlignment="1">
      <alignment horizontal="center" vertical="center"/>
    </xf>
    <xf numFmtId="0" fontId="44" fillId="0" borderId="202" xfId="4" applyFont="1" applyBorder="1" applyAlignment="1">
      <alignment vertical="top" wrapText="1"/>
    </xf>
    <xf numFmtId="0" fontId="45" fillId="0" borderId="205" xfId="4" applyFont="1" applyBorder="1" applyAlignment="1">
      <alignment horizontal="center" vertical="center"/>
    </xf>
    <xf numFmtId="0" fontId="44" fillId="0" borderId="206" xfId="4" applyFont="1" applyBorder="1" applyAlignment="1">
      <alignment horizontal="left" vertical="top" wrapText="1"/>
    </xf>
    <xf numFmtId="193" fontId="45" fillId="0" borderId="207" xfId="4" applyNumberFormat="1" applyFont="1" applyBorder="1" applyAlignment="1">
      <alignment horizontal="center" vertical="center"/>
    </xf>
    <xf numFmtId="193" fontId="45" fillId="2" borderId="208" xfId="4" applyNumberFormat="1" applyFont="1" applyFill="1" applyBorder="1" applyAlignment="1">
      <alignment horizontal="center" vertical="center"/>
    </xf>
    <xf numFmtId="0" fontId="44" fillId="0" borderId="209" xfId="4" applyFont="1" applyBorder="1" applyAlignment="1">
      <alignment vertical="top" wrapText="1"/>
    </xf>
    <xf numFmtId="0" fontId="44" fillId="0" borderId="44" xfId="4" applyFont="1" applyBorder="1"/>
    <xf numFmtId="0" fontId="45" fillId="0" borderId="0" xfId="4" applyFont="1" applyAlignment="1">
      <alignment horizontal="center" vertical="center"/>
    </xf>
    <xf numFmtId="0" fontId="44" fillId="0" borderId="0" xfId="4" applyFont="1" applyAlignment="1">
      <alignment horizontal="left" vertical="top" wrapText="1"/>
    </xf>
    <xf numFmtId="193" fontId="45" fillId="0" borderId="0" xfId="4" applyNumberFormat="1" applyFont="1" applyAlignment="1">
      <alignment horizontal="center" vertical="center"/>
    </xf>
    <xf numFmtId="0" fontId="45" fillId="0" borderId="0" xfId="4" applyFont="1" applyAlignment="1">
      <alignment horizontal="left" vertical="center"/>
    </xf>
    <xf numFmtId="0" fontId="52" fillId="17" borderId="210" xfId="4" applyFont="1" applyFill="1" applyBorder="1" applyAlignment="1">
      <alignment horizontal="left" vertical="top" wrapText="1"/>
    </xf>
    <xf numFmtId="0" fontId="44" fillId="22" borderId="211" xfId="4" applyFont="1" applyFill="1" applyBorder="1" applyAlignment="1">
      <alignment vertical="top" wrapText="1"/>
    </xf>
    <xf numFmtId="0" fontId="44" fillId="22" borderId="200" xfId="4" applyFont="1" applyFill="1" applyBorder="1"/>
    <xf numFmtId="0" fontId="44" fillId="22" borderId="198" xfId="4" applyFont="1" applyFill="1" applyBorder="1" applyAlignment="1">
      <alignment vertical="top" wrapText="1"/>
    </xf>
    <xf numFmtId="194" fontId="44" fillId="22" borderId="200" xfId="9" applyNumberFormat="1" applyFont="1" applyFill="1" applyBorder="1"/>
    <xf numFmtId="0" fontId="44" fillId="0" borderId="217" xfId="4" applyFont="1" applyBorder="1"/>
    <xf numFmtId="0" fontId="44" fillId="0" borderId="0" xfId="4" applyFont="1" applyAlignment="1">
      <alignment vertical="center" wrapText="1"/>
    </xf>
    <xf numFmtId="0" fontId="7" fillId="0" borderId="0" xfId="4" applyAlignment="1">
      <alignment vertical="center"/>
    </xf>
    <xf numFmtId="0" fontId="44" fillId="0" borderId="0" xfId="4" applyFont="1" applyAlignment="1">
      <alignment horizontal="left"/>
    </xf>
    <xf numFmtId="0" fontId="44" fillId="0" borderId="43" xfId="4" applyFont="1" applyBorder="1"/>
    <xf numFmtId="0" fontId="44" fillId="0" borderId="49" xfId="4" applyFont="1" applyBorder="1" applyAlignment="1">
      <alignment vertical="top" wrapText="1"/>
    </xf>
    <xf numFmtId="0" fontId="44" fillId="0" borderId="48" xfId="4" applyFont="1" applyBorder="1"/>
    <xf numFmtId="0" fontId="54" fillId="24" borderId="0" xfId="8" applyNumberFormat="1" applyFont="1" applyFill="1"/>
    <xf numFmtId="0" fontId="0" fillId="0" borderId="0" xfId="0" applyAlignment="1">
      <alignment vertical="center" wrapText="1"/>
    </xf>
    <xf numFmtId="0" fontId="55" fillId="0" borderId="0" xfId="0" applyFont="1" applyAlignment="1">
      <alignment vertical="center" wrapText="1"/>
    </xf>
    <xf numFmtId="0" fontId="26" fillId="0" borderId="0" xfId="0" applyFont="1"/>
    <xf numFmtId="0" fontId="26" fillId="0" borderId="0" xfId="0" applyFont="1" applyAlignment="1">
      <alignment vertical="center"/>
    </xf>
    <xf numFmtId="0" fontId="59" fillId="0" borderId="228" xfId="8" applyNumberFormat="1" applyFont="1" applyBorder="1" applyAlignment="1">
      <alignment horizontal="right" vertical="center"/>
    </xf>
    <xf numFmtId="0" fontId="59" fillId="0" borderId="229" xfId="8" applyNumberFormat="1" applyFont="1" applyBorder="1" applyAlignment="1">
      <alignment vertical="center"/>
    </xf>
    <xf numFmtId="0" fontId="59" fillId="0" borderId="228" xfId="8" applyNumberFormat="1" applyFont="1" applyBorder="1" applyAlignment="1">
      <alignment vertical="center"/>
    </xf>
    <xf numFmtId="0" fontId="13" fillId="5" borderId="231" xfId="0" applyFont="1" applyFill="1" applyBorder="1" applyAlignment="1">
      <alignment horizontal="center" vertical="center"/>
    </xf>
    <xf numFmtId="0" fontId="2" fillId="2" borderId="231" xfId="0" applyFont="1" applyFill="1" applyBorder="1" applyAlignment="1">
      <alignment horizontal="center" vertical="center"/>
    </xf>
    <xf numFmtId="0" fontId="60" fillId="13" borderId="37" xfId="0" applyFont="1" applyFill="1" applyBorder="1" applyAlignment="1">
      <alignment horizontal="center" vertical="center" wrapText="1"/>
    </xf>
    <xf numFmtId="0" fontId="26" fillId="0" borderId="227" xfId="0" applyFont="1" applyBorder="1" applyAlignment="1">
      <alignment horizontal="left" vertical="center"/>
    </xf>
    <xf numFmtId="0" fontId="26" fillId="0" borderId="228" xfId="0" applyFont="1" applyBorder="1" applyAlignment="1">
      <alignment horizontal="left" vertical="center" wrapText="1"/>
    </xf>
    <xf numFmtId="0" fontId="26" fillId="0" borderId="230" xfId="0" applyFont="1" applyBorder="1" applyAlignment="1">
      <alignment horizontal="left" vertical="center" wrapText="1"/>
    </xf>
    <xf numFmtId="0" fontId="26" fillId="0" borderId="229" xfId="0" applyFont="1" applyBorder="1" applyAlignment="1">
      <alignment horizontal="left" vertical="center" wrapText="1"/>
    </xf>
    <xf numFmtId="0" fontId="55" fillId="0" borderId="0" xfId="0" applyFont="1" applyAlignment="1">
      <alignment horizontal="center" vertical="center" wrapText="1"/>
    </xf>
    <xf numFmtId="0" fontId="58" fillId="25" borderId="227" xfId="8" applyNumberFormat="1" applyFont="1" applyFill="1" applyBorder="1" applyAlignment="1">
      <alignment horizontal="center" vertical="center"/>
    </xf>
    <xf numFmtId="0" fontId="26" fillId="0" borderId="228" xfId="0" applyFont="1" applyBorder="1" applyAlignment="1">
      <alignment horizontal="left" vertical="center"/>
    </xf>
    <xf numFmtId="0" fontId="26" fillId="0" borderId="230" xfId="0" applyFont="1" applyBorder="1" applyAlignment="1">
      <alignment horizontal="left" vertical="center"/>
    </xf>
    <xf numFmtId="0" fontId="26" fillId="0" borderId="229" xfId="0" applyFont="1" applyBorder="1" applyAlignment="1">
      <alignment horizontal="left" vertical="center"/>
    </xf>
    <xf numFmtId="0" fontId="2" fillId="2" borderId="36" xfId="0" applyFont="1" applyFill="1" applyBorder="1" applyAlignment="1">
      <alignment horizontal="left" vertical="center"/>
    </xf>
    <xf numFmtId="0" fontId="2" fillId="2" borderId="39" xfId="0" applyFont="1" applyFill="1" applyBorder="1" applyAlignment="1">
      <alignment horizontal="left" vertical="center"/>
    </xf>
    <xf numFmtId="0" fontId="4" fillId="0" borderId="0" xfId="0" applyFont="1" applyAlignment="1">
      <alignment horizontal="left" vertical="center"/>
    </xf>
    <xf numFmtId="0" fontId="42" fillId="0" borderId="0" xfId="0" applyFont="1" applyAlignment="1">
      <alignment horizontal="center" vertical="center"/>
    </xf>
    <xf numFmtId="0" fontId="20" fillId="10" borderId="76" xfId="0" applyFont="1" applyFill="1" applyBorder="1" applyAlignment="1">
      <alignment horizontal="left" vertical="center" wrapText="1"/>
    </xf>
    <xf numFmtId="0" fontId="20" fillId="10" borderId="77" xfId="0" applyFont="1" applyFill="1" applyBorder="1" applyAlignment="1">
      <alignment horizontal="left" vertical="center" wrapText="1"/>
    </xf>
    <xf numFmtId="0" fontId="20" fillId="10" borderId="78" xfId="0" applyFont="1" applyFill="1" applyBorder="1" applyAlignment="1">
      <alignment horizontal="left" vertical="center" wrapText="1"/>
    </xf>
    <xf numFmtId="0" fontId="0" fillId="5" borderId="0" xfId="0" applyFill="1" applyAlignment="1">
      <alignment horizontal="left" vertical="center"/>
    </xf>
    <xf numFmtId="0" fontId="2" fillId="2" borderId="41" xfId="0" applyFont="1" applyFill="1" applyBorder="1" applyAlignment="1">
      <alignment horizontal="left" vertical="center"/>
    </xf>
    <xf numFmtId="0" fontId="2" fillId="5" borderId="36" xfId="0" applyFont="1" applyFill="1" applyBorder="1" applyAlignment="1">
      <alignment horizontal="left" vertical="center"/>
    </xf>
    <xf numFmtId="0" fontId="2" fillId="5" borderId="39" xfId="0" applyFont="1" applyFill="1" applyBorder="1" applyAlignment="1">
      <alignment horizontal="left" vertical="center"/>
    </xf>
    <xf numFmtId="0" fontId="2" fillId="0" borderId="37" xfId="0" applyFont="1" applyBorder="1" applyAlignment="1">
      <alignment horizontal="left" vertical="center" wrapText="1"/>
    </xf>
    <xf numFmtId="0" fontId="2" fillId="0" borderId="28" xfId="0" applyFont="1" applyBorder="1" applyAlignment="1">
      <alignment horizontal="left" vertical="center" wrapText="1"/>
    </xf>
    <xf numFmtId="0" fontId="2" fillId="0" borderId="27" xfId="0" applyFont="1" applyBorder="1" applyAlignment="1">
      <alignment horizontal="left" vertical="center" wrapText="1"/>
    </xf>
    <xf numFmtId="0" fontId="2" fillId="0" borderId="9" xfId="0" applyFont="1" applyBorder="1" applyAlignment="1">
      <alignment horizontal="left" vertical="center" wrapText="1"/>
    </xf>
    <xf numFmtId="0" fontId="31" fillId="13" borderId="36" xfId="0" applyFont="1" applyFill="1" applyBorder="1" applyAlignment="1">
      <alignment horizontal="left" vertical="center" wrapText="1"/>
    </xf>
    <xf numFmtId="0" fontId="31" fillId="13" borderId="39" xfId="0" applyFont="1" applyFill="1" applyBorder="1" applyAlignment="1">
      <alignment horizontal="left" vertical="center" wrapText="1"/>
    </xf>
    <xf numFmtId="0" fontId="10" fillId="0" borderId="37" xfId="0" applyFont="1" applyBorder="1" applyAlignment="1">
      <alignment horizontal="left" vertical="center" wrapText="1"/>
    </xf>
    <xf numFmtId="0" fontId="44" fillId="0" borderId="200" xfId="4" applyFont="1" applyBorder="1" applyAlignment="1">
      <alignment horizontal="left" vertical="center"/>
    </xf>
    <xf numFmtId="0" fontId="44" fillId="0" borderId="126" xfId="4" applyFont="1" applyBorder="1" applyAlignment="1">
      <alignment horizontal="left" vertical="center"/>
    </xf>
    <xf numFmtId="0" fontId="44" fillId="0" borderId="223" xfId="4" applyFont="1" applyBorder="1" applyAlignment="1">
      <alignment horizontal="left" vertical="center"/>
    </xf>
    <xf numFmtId="0" fontId="44" fillId="0" borderId="204" xfId="4" applyFont="1" applyBorder="1" applyAlignment="1">
      <alignment horizontal="left" vertical="center"/>
    </xf>
    <xf numFmtId="0" fontId="44" fillId="0" borderId="204" xfId="4" applyFont="1" applyBorder="1" applyAlignment="1">
      <alignment horizontal="left" vertical="top"/>
    </xf>
    <xf numFmtId="0" fontId="44" fillId="0" borderId="126" xfId="4" applyFont="1" applyBorder="1" applyAlignment="1">
      <alignment horizontal="left" vertical="top"/>
    </xf>
    <xf numFmtId="0" fontId="44" fillId="0" borderId="223" xfId="4" applyFont="1" applyBorder="1" applyAlignment="1">
      <alignment horizontal="left" vertical="top"/>
    </xf>
    <xf numFmtId="0" fontId="51" fillId="23" borderId="212" xfId="4" applyFont="1" applyFill="1" applyBorder="1" applyAlignment="1">
      <alignment horizontal="center" vertical="center"/>
    </xf>
    <xf numFmtId="0" fontId="51" fillId="23" borderId="218" xfId="4" applyFont="1" applyFill="1" applyBorder="1" applyAlignment="1">
      <alignment horizontal="center" vertical="center"/>
    </xf>
    <xf numFmtId="0" fontId="51" fillId="23" borderId="92" xfId="4" applyFont="1" applyFill="1" applyBorder="1" applyAlignment="1">
      <alignment horizontal="left" vertical="center" wrapText="1"/>
    </xf>
    <xf numFmtId="0" fontId="51" fillId="23" borderId="219" xfId="4" applyFont="1" applyFill="1" applyBorder="1" applyAlignment="1">
      <alignment horizontal="left" vertical="center" wrapText="1"/>
    </xf>
    <xf numFmtId="193" fontId="51" fillId="23" borderId="213" xfId="4" applyNumberFormat="1" applyFont="1" applyFill="1" applyBorder="1" applyAlignment="1">
      <alignment horizontal="center" vertical="center"/>
    </xf>
    <xf numFmtId="193" fontId="51" fillId="23" borderId="220" xfId="4" applyNumberFormat="1" applyFont="1" applyFill="1" applyBorder="1" applyAlignment="1">
      <alignment horizontal="center" vertical="center"/>
    </xf>
    <xf numFmtId="193" fontId="51" fillId="23" borderId="214" xfId="4" applyNumberFormat="1" applyFont="1" applyFill="1" applyBorder="1" applyAlignment="1">
      <alignment horizontal="center" vertical="center"/>
    </xf>
    <xf numFmtId="193" fontId="51" fillId="23" borderId="221" xfId="4" applyNumberFormat="1" applyFont="1" applyFill="1" applyBorder="1" applyAlignment="1">
      <alignment horizontal="center" vertical="center"/>
    </xf>
    <xf numFmtId="0" fontId="51" fillId="23" borderId="215" xfId="4" applyFont="1" applyFill="1" applyBorder="1" applyAlignment="1">
      <alignment horizontal="left" vertical="center" wrapText="1"/>
    </xf>
    <xf numFmtId="0" fontId="51" fillId="23" borderId="222" xfId="4" applyFont="1" applyFill="1" applyBorder="1" applyAlignment="1">
      <alignment horizontal="left" vertical="center" wrapText="1"/>
    </xf>
    <xf numFmtId="193" fontId="51" fillId="23" borderId="216" xfId="4" applyNumberFormat="1" applyFont="1" applyFill="1" applyBorder="1" applyAlignment="1">
      <alignment horizontal="center" vertical="center"/>
    </xf>
    <xf numFmtId="193" fontId="51" fillId="23" borderId="81" xfId="4" applyNumberFormat="1" applyFont="1" applyFill="1" applyBorder="1" applyAlignment="1">
      <alignment horizontal="center" vertical="center"/>
    </xf>
    <xf numFmtId="0" fontId="46" fillId="0" borderId="0" xfId="4" applyFont="1" applyAlignment="1">
      <alignment horizontal="center" vertical="center"/>
    </xf>
    <xf numFmtId="0" fontId="47" fillId="14" borderId="0" xfId="4" applyFont="1" applyFill="1" applyAlignment="1">
      <alignment horizontal="center" vertical="center"/>
    </xf>
    <xf numFmtId="0" fontId="48" fillId="0" borderId="0" xfId="4" applyFont="1" applyAlignment="1">
      <alignment horizontal="center" vertical="center"/>
    </xf>
    <xf numFmtId="0" fontId="49" fillId="15" borderId="0" xfId="4" applyFont="1" applyFill="1" applyAlignment="1">
      <alignment horizontal="left" vertical="center" wrapText="1"/>
    </xf>
    <xf numFmtId="0" fontId="50" fillId="15" borderId="0" xfId="4" applyFont="1" applyFill="1" applyAlignment="1">
      <alignment horizontal="justify" vertical="top" wrapText="1"/>
    </xf>
    <xf numFmtId="193" fontId="51" fillId="16" borderId="82" xfId="4" applyNumberFormat="1" applyFont="1" applyFill="1" applyBorder="1" applyAlignment="1">
      <alignment horizontal="center" vertical="center"/>
    </xf>
    <xf numFmtId="193" fontId="51" fillId="16" borderId="83" xfId="4" applyNumberFormat="1" applyFont="1" applyFill="1" applyBorder="1" applyAlignment="1">
      <alignment horizontal="center" vertical="center"/>
    </xf>
    <xf numFmtId="193" fontId="51" fillId="16" borderId="0" xfId="4" applyNumberFormat="1" applyFont="1" applyFill="1" applyAlignment="1">
      <alignment horizontal="center" vertical="center"/>
    </xf>
    <xf numFmtId="0" fontId="45" fillId="7" borderId="50" xfId="4" applyFont="1" applyFill="1" applyBorder="1" applyAlignment="1">
      <alignment horizontal="center" vertical="center" wrapText="1"/>
    </xf>
    <xf numFmtId="0" fontId="45" fillId="7" borderId="53" xfId="4" applyFont="1" applyFill="1" applyBorder="1" applyAlignment="1">
      <alignment horizontal="center" vertical="center" wrapText="1"/>
    </xf>
    <xf numFmtId="0" fontId="45" fillId="7" borderId="23" xfId="4" applyFont="1" applyFill="1" applyBorder="1" applyAlignment="1">
      <alignment horizontal="left" vertical="center" wrapText="1"/>
    </xf>
    <xf numFmtId="0" fontId="45" fillId="7" borderId="79" xfId="4" applyFont="1" applyFill="1" applyBorder="1" applyAlignment="1">
      <alignment horizontal="left" vertical="center" wrapText="1"/>
    </xf>
    <xf numFmtId="0" fontId="45" fillId="7" borderId="51" xfId="4" applyFont="1" applyFill="1" applyBorder="1" applyAlignment="1">
      <alignment horizontal="center" vertical="center" wrapText="1"/>
    </xf>
    <xf numFmtId="0" fontId="45" fillId="7" borderId="36" xfId="4" applyFont="1" applyFill="1" applyBorder="1" applyAlignment="1">
      <alignment horizontal="center" vertical="center" wrapText="1"/>
    </xf>
    <xf numFmtId="0" fontId="45" fillId="7" borderId="37" xfId="4" applyFont="1" applyFill="1" applyBorder="1" applyAlignment="1">
      <alignment horizontal="left" vertical="center" wrapText="1"/>
    </xf>
    <xf numFmtId="0" fontId="45" fillId="7" borderId="80" xfId="4" applyFont="1" applyFill="1" applyBorder="1" applyAlignment="1">
      <alignment horizontal="left" vertical="center" wrapText="1"/>
    </xf>
    <xf numFmtId="0" fontId="45" fillId="7" borderId="52" xfId="4" applyFont="1" applyFill="1" applyBorder="1" applyAlignment="1">
      <alignment horizontal="center" vertical="center" wrapText="1"/>
    </xf>
    <xf numFmtId="0" fontId="45" fillId="7" borderId="45" xfId="4" applyFont="1" applyFill="1" applyBorder="1" applyAlignment="1">
      <alignment horizontal="center" vertical="center" wrapText="1"/>
    </xf>
    <xf numFmtId="0" fontId="45" fillId="7" borderId="40" xfId="4" applyFont="1" applyFill="1" applyBorder="1" applyAlignment="1">
      <alignment horizontal="left" vertical="center" wrapText="1"/>
    </xf>
    <xf numFmtId="0" fontId="45" fillId="7" borderId="81" xfId="4" applyFont="1" applyFill="1" applyBorder="1" applyAlignment="1">
      <alignment horizontal="left" vertical="center" wrapText="1"/>
    </xf>
    <xf numFmtId="0" fontId="20" fillId="10" borderId="224" xfId="0" applyFont="1" applyFill="1" applyBorder="1" applyAlignment="1">
      <alignment horizontal="left" vertical="center" wrapText="1"/>
    </xf>
    <xf numFmtId="0" fontId="20" fillId="10" borderId="225" xfId="0" applyFont="1" applyFill="1" applyBorder="1" applyAlignment="1">
      <alignment horizontal="left" vertical="center" wrapText="1"/>
    </xf>
    <xf numFmtId="0" fontId="20" fillId="10" borderId="226" xfId="0" applyFont="1" applyFill="1" applyBorder="1" applyAlignment="1">
      <alignment horizontal="left" vertical="center" wrapText="1"/>
    </xf>
    <xf numFmtId="0" fontId="31" fillId="6" borderId="36" xfId="0" applyFont="1" applyFill="1" applyBorder="1" applyAlignment="1">
      <alignment horizontal="left" vertical="center"/>
    </xf>
    <xf numFmtId="0" fontId="31" fillId="6" borderId="41" xfId="0" applyFont="1" applyFill="1" applyBorder="1" applyAlignment="1">
      <alignment horizontal="left" vertical="center"/>
    </xf>
    <xf numFmtId="0" fontId="31" fillId="6" borderId="39" xfId="0" applyFont="1" applyFill="1" applyBorder="1" applyAlignment="1">
      <alignment horizontal="left" vertical="center"/>
    </xf>
    <xf numFmtId="0" fontId="0" fillId="0" borderId="17" xfId="0" applyBorder="1" applyAlignment="1">
      <alignment horizontal="center" vertical="center" wrapText="1"/>
    </xf>
    <xf numFmtId="0" fontId="0" fillId="0" borderId="26"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40" xfId="0" applyBorder="1" applyAlignment="1">
      <alignment horizontal="left" vertical="center"/>
    </xf>
    <xf numFmtId="0" fontId="0" fillId="5" borderId="50" xfId="0" applyFill="1" applyBorder="1" applyAlignment="1">
      <alignment horizontal="center" vertical="center" textRotation="90"/>
    </xf>
    <xf numFmtId="0" fontId="0" fillId="5" borderId="51" xfId="0" applyFill="1" applyBorder="1" applyAlignment="1">
      <alignment horizontal="center" vertical="center" textRotation="90"/>
    </xf>
    <xf numFmtId="0" fontId="0" fillId="5" borderId="52" xfId="0" applyFill="1" applyBorder="1" applyAlignment="1">
      <alignment horizontal="center" vertical="center" textRotation="90"/>
    </xf>
    <xf numFmtId="0" fontId="0" fillId="0" borderId="23" xfId="0" applyBorder="1" applyAlignment="1">
      <alignment horizontal="left" vertical="center"/>
    </xf>
    <xf numFmtId="0" fontId="26" fillId="12" borderId="36" xfId="0" applyFont="1" applyFill="1" applyBorder="1" applyAlignment="1">
      <alignment horizontal="left"/>
    </xf>
    <xf numFmtId="0" fontId="26" fillId="12" borderId="41" xfId="0" applyFont="1" applyFill="1" applyBorder="1" applyAlignment="1">
      <alignment horizontal="left"/>
    </xf>
    <xf numFmtId="0" fontId="26" fillId="12" borderId="39" xfId="0" applyFont="1" applyFill="1" applyBorder="1" applyAlignment="1">
      <alignment horizontal="left"/>
    </xf>
    <xf numFmtId="0" fontId="33" fillId="3" borderId="36" xfId="0" applyFont="1" applyFill="1" applyBorder="1" applyAlignment="1">
      <alignment horizontal="left"/>
    </xf>
    <xf numFmtId="0" fontId="33" fillId="3" borderId="41" xfId="0" applyFont="1" applyFill="1" applyBorder="1" applyAlignment="1">
      <alignment horizontal="left"/>
    </xf>
    <xf numFmtId="0" fontId="33" fillId="3" borderId="39" xfId="0" applyFont="1" applyFill="1" applyBorder="1" applyAlignment="1">
      <alignment horizontal="left"/>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59" xfId="0" applyBorder="1" applyAlignment="1">
      <alignment horizontal="left" vertical="center"/>
    </xf>
    <xf numFmtId="0" fontId="0" fillId="0" borderId="34" xfId="0" applyBorder="1" applyAlignment="1">
      <alignment horizontal="left" vertical="center"/>
    </xf>
    <xf numFmtId="0" fontId="0" fillId="0" borderId="37" xfId="0" applyBorder="1" applyAlignment="1">
      <alignment horizontal="left" vertical="center"/>
    </xf>
    <xf numFmtId="9" fontId="0" fillId="3" borderId="37" xfId="1" applyFont="1" applyFill="1" applyBorder="1" applyAlignment="1" applyProtection="1">
      <alignment horizontal="center" vertical="center"/>
      <protection locked="0"/>
    </xf>
    <xf numFmtId="9" fontId="0" fillId="3" borderId="36" xfId="1" applyFont="1" applyFill="1" applyBorder="1" applyAlignment="1" applyProtection="1">
      <alignment horizontal="center" vertical="center"/>
      <protection locked="0"/>
    </xf>
    <xf numFmtId="9" fontId="0" fillId="3" borderId="40" xfId="1" applyFont="1" applyFill="1" applyBorder="1" applyAlignment="1" applyProtection="1">
      <alignment horizontal="center" vertical="center"/>
      <protection locked="0"/>
    </xf>
    <xf numFmtId="9" fontId="0" fillId="3" borderId="45" xfId="1" applyFont="1" applyFill="1" applyBorder="1" applyAlignment="1" applyProtection="1">
      <alignment horizontal="center" vertical="center"/>
      <protection locked="0"/>
    </xf>
    <xf numFmtId="0" fontId="24" fillId="5" borderId="74" xfId="0" applyFont="1" applyFill="1" applyBorder="1" applyAlignment="1">
      <alignment horizontal="center" vertical="center"/>
    </xf>
    <xf numFmtId="0" fontId="24" fillId="5" borderId="75" xfId="0" applyFont="1" applyFill="1" applyBorder="1" applyAlignment="1">
      <alignment horizontal="center" vertical="center"/>
    </xf>
    <xf numFmtId="0" fontId="0" fillId="8" borderId="37" xfId="0" applyFill="1" applyBorder="1" applyAlignment="1">
      <alignment horizontal="left" vertical="center"/>
    </xf>
    <xf numFmtId="0" fontId="0" fillId="8" borderId="36" xfId="0" applyFill="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left" vertical="center"/>
    </xf>
    <xf numFmtId="0" fontId="0" fillId="0" borderId="41" xfId="0" applyBorder="1" applyAlignment="1">
      <alignment horizontal="left" vertical="center"/>
    </xf>
    <xf numFmtId="0" fontId="0" fillId="3" borderId="23"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9" fontId="0" fillId="12" borderId="37" xfId="1" applyFont="1" applyFill="1" applyBorder="1" applyAlignment="1" applyProtection="1">
      <alignment horizontal="center" vertical="center"/>
      <protection locked="0"/>
    </xf>
    <xf numFmtId="9" fontId="0" fillId="12" borderId="36" xfId="1" applyFont="1" applyFill="1" applyBorder="1" applyAlignment="1" applyProtection="1">
      <alignment horizontal="center" vertical="center"/>
      <protection locked="0"/>
    </xf>
    <xf numFmtId="191" fontId="0" fillId="3" borderId="37" xfId="0" applyNumberFormat="1" applyFill="1" applyBorder="1" applyAlignment="1" applyProtection="1">
      <alignment horizontal="center" vertical="center"/>
      <protection locked="0"/>
    </xf>
    <xf numFmtId="191" fontId="0" fillId="3" borderId="36" xfId="0" applyNumberFormat="1" applyFill="1" applyBorder="1" applyAlignment="1" applyProtection="1">
      <alignment horizontal="center" vertical="center"/>
      <protection locked="0"/>
    </xf>
    <xf numFmtId="192" fontId="0" fillId="3" borderId="37" xfId="1" applyNumberFormat="1" applyFont="1" applyFill="1" applyBorder="1" applyAlignment="1" applyProtection="1">
      <alignment horizontal="center" vertical="center"/>
      <protection locked="0"/>
    </xf>
    <xf numFmtId="192" fontId="0" fillId="3" borderId="36" xfId="1" applyNumberFormat="1" applyFont="1" applyFill="1" applyBorder="1" applyAlignment="1" applyProtection="1">
      <alignment horizontal="center" vertical="center"/>
      <protection locked="0"/>
    </xf>
    <xf numFmtId="0" fontId="26" fillId="0" borderId="60" xfId="0" applyFont="1" applyBorder="1" applyAlignment="1">
      <alignment horizontal="left" vertical="top" wrapText="1"/>
    </xf>
    <xf numFmtId="0" fontId="26" fillId="0" borderId="61" xfId="0" applyFont="1" applyBorder="1" applyAlignment="1">
      <alignment horizontal="left" vertical="top" wrapText="1"/>
    </xf>
    <xf numFmtId="0" fontId="26" fillId="0" borderId="62" xfId="0" applyFont="1" applyBorder="1" applyAlignment="1">
      <alignment horizontal="left" vertical="top" wrapText="1"/>
    </xf>
    <xf numFmtId="0" fontId="26" fillId="0" borderId="63" xfId="0" applyFont="1" applyBorder="1" applyAlignment="1">
      <alignment horizontal="left" vertical="top" wrapText="1"/>
    </xf>
    <xf numFmtId="0" fontId="26" fillId="0" borderId="0" xfId="0" applyFont="1" applyBorder="1" applyAlignment="1">
      <alignment horizontal="left" vertical="top" wrapText="1"/>
    </xf>
    <xf numFmtId="0" fontId="26" fillId="0" borderId="47" xfId="0" applyFont="1" applyBorder="1" applyAlignment="1">
      <alignment horizontal="left" vertical="top" wrapText="1"/>
    </xf>
    <xf numFmtId="0" fontId="26" fillId="0" borderId="64" xfId="0" applyFont="1" applyBorder="1" applyAlignment="1">
      <alignment horizontal="left" vertical="top" wrapText="1"/>
    </xf>
    <xf numFmtId="0" fontId="26" fillId="0" borderId="65" xfId="0" applyFont="1" applyBorder="1" applyAlignment="1">
      <alignment horizontal="left" vertical="top" wrapText="1"/>
    </xf>
    <xf numFmtId="0" fontId="26" fillId="0" borderId="66" xfId="0" applyFont="1" applyBorder="1" applyAlignment="1">
      <alignment horizontal="left" vertical="top" wrapText="1"/>
    </xf>
    <xf numFmtId="0" fontId="0" fillId="10" borderId="36" xfId="0" applyFont="1" applyFill="1" applyBorder="1" applyAlignment="1">
      <alignment horizontal="left" vertical="center"/>
    </xf>
    <xf numFmtId="0" fontId="0" fillId="10" borderId="41" xfId="0" applyFont="1" applyFill="1" applyBorder="1" applyAlignment="1">
      <alignment horizontal="left" vertical="center"/>
    </xf>
    <xf numFmtId="0" fontId="0" fillId="10" borderId="39" xfId="0" applyFont="1" applyFill="1" applyBorder="1" applyAlignment="1">
      <alignment horizontal="left" vertical="center"/>
    </xf>
    <xf numFmtId="0" fontId="0" fillId="0" borderId="20" xfId="0" applyBorder="1" applyAlignment="1">
      <alignment horizontal="left" vertical="center"/>
    </xf>
    <xf numFmtId="0" fontId="0" fillId="0" borderId="35" xfId="0" applyBorder="1" applyAlignment="1">
      <alignment horizontal="left" vertical="center"/>
    </xf>
    <xf numFmtId="0" fontId="0" fillId="0" borderId="58" xfId="0" applyBorder="1" applyAlignment="1">
      <alignment horizontal="left" vertical="center"/>
    </xf>
    <xf numFmtId="0" fontId="0" fillId="0" borderId="33" xfId="0" applyBorder="1" applyAlignment="1">
      <alignment horizontal="left" vertical="center"/>
    </xf>
    <xf numFmtId="2" fontId="2" fillId="7" borderId="36" xfId="0" applyNumberFormat="1" applyFont="1" applyFill="1" applyBorder="1" applyAlignment="1">
      <alignment horizontal="center"/>
    </xf>
    <xf numFmtId="2" fontId="2" fillId="7" borderId="39" xfId="0" applyNumberFormat="1" applyFont="1" applyFill="1" applyBorder="1" applyAlignment="1">
      <alignment horizontal="center"/>
    </xf>
    <xf numFmtId="0" fontId="1" fillId="3" borderId="37" xfId="0" applyFont="1" applyFill="1" applyBorder="1" applyAlignment="1" applyProtection="1">
      <alignment horizontal="center"/>
      <protection locked="0"/>
    </xf>
    <xf numFmtId="0" fontId="1" fillId="7" borderId="36" xfId="0" applyFont="1" applyFill="1" applyBorder="1" applyAlignment="1">
      <alignment horizontal="center"/>
    </xf>
    <xf numFmtId="0" fontId="1" fillId="7" borderId="39" xfId="0" applyFont="1" applyFill="1" applyBorder="1" applyAlignment="1">
      <alignment horizontal="center"/>
    </xf>
    <xf numFmtId="0" fontId="1" fillId="7" borderId="37" xfId="0" applyFont="1" applyFill="1" applyBorder="1" applyAlignment="1">
      <alignment horizontal="center"/>
    </xf>
    <xf numFmtId="0" fontId="1" fillId="3" borderId="36" xfId="0" applyFont="1" applyFill="1" applyBorder="1" applyAlignment="1" applyProtection="1">
      <alignment horizontal="center"/>
      <protection locked="0"/>
    </xf>
    <xf numFmtId="0" fontId="1" fillId="3" borderId="39" xfId="0" applyFont="1" applyFill="1" applyBorder="1" applyAlignment="1" applyProtection="1">
      <alignment horizontal="center"/>
      <protection locked="0"/>
    </xf>
    <xf numFmtId="3" fontId="1" fillId="7" borderId="37" xfId="0" applyNumberFormat="1" applyFont="1" applyFill="1" applyBorder="1" applyAlignment="1">
      <alignment horizontal="center"/>
    </xf>
    <xf numFmtId="3" fontId="1" fillId="0" borderId="1" xfId="0" applyNumberFormat="1" applyFont="1" applyBorder="1" applyAlignment="1">
      <alignment horizontal="center"/>
    </xf>
    <xf numFmtId="9" fontId="1" fillId="0" borderId="1" xfId="1" applyBorder="1" applyAlignment="1">
      <alignment horizontal="center"/>
    </xf>
    <xf numFmtId="4" fontId="1" fillId="0" borderId="1" xfId="0" applyNumberFormat="1" applyFont="1" applyBorder="1" applyAlignment="1">
      <alignment horizontal="center"/>
    </xf>
    <xf numFmtId="185" fontId="1" fillId="7" borderId="36" xfId="0" applyNumberFormat="1" applyFont="1" applyFill="1" applyBorder="1" applyAlignment="1">
      <alignment horizontal="center"/>
    </xf>
    <xf numFmtId="185" fontId="1" fillId="7" borderId="39" xfId="0" applyNumberFormat="1" applyFont="1" applyFill="1" applyBorder="1" applyAlignment="1">
      <alignment horizontal="center"/>
    </xf>
    <xf numFmtId="185" fontId="1" fillId="7" borderId="37" xfId="0" applyNumberFormat="1" applyFont="1" applyFill="1" applyBorder="1" applyAlignment="1">
      <alignment horizontal="center"/>
    </xf>
    <xf numFmtId="0" fontId="2" fillId="5" borderId="25" xfId="0" applyFont="1" applyFill="1" applyBorder="1" applyAlignment="1">
      <alignment horizontal="center"/>
    </xf>
    <xf numFmtId="0" fontId="18" fillId="5" borderId="0" xfId="0" applyFont="1" applyFill="1" applyBorder="1" applyAlignment="1">
      <alignment horizontal="left"/>
    </xf>
    <xf numFmtId="0" fontId="4" fillId="7" borderId="36" xfId="0" applyFont="1" applyFill="1" applyBorder="1" applyAlignment="1">
      <alignment horizontal="center"/>
    </xf>
    <xf numFmtId="0" fontId="4" fillId="7" borderId="41" xfId="0" applyFont="1" applyFill="1" applyBorder="1" applyAlignment="1">
      <alignment horizontal="center"/>
    </xf>
    <xf numFmtId="0" fontId="4" fillId="7" borderId="39" xfId="0" applyFont="1" applyFill="1" applyBorder="1" applyAlignment="1">
      <alignment horizontal="center"/>
    </xf>
    <xf numFmtId="0" fontId="2" fillId="0" borderId="0" xfId="0" applyFont="1" applyAlignment="1">
      <alignment horizontal="right"/>
    </xf>
    <xf numFmtId="0" fontId="0" fillId="3" borderId="13" xfId="0" applyFont="1" applyFill="1" applyBorder="1" applyAlignment="1" applyProtection="1">
      <alignment horizontal="center"/>
      <protection locked="0"/>
    </xf>
    <xf numFmtId="0" fontId="0" fillId="3" borderId="70" xfId="0" applyFont="1" applyFill="1" applyBorder="1" applyAlignment="1" applyProtection="1">
      <alignment horizontal="center"/>
      <protection locked="0"/>
    </xf>
    <xf numFmtId="0" fontId="0" fillId="3" borderId="69" xfId="0" applyFont="1" applyFill="1" applyBorder="1" applyAlignment="1" applyProtection="1">
      <alignment horizontal="center"/>
      <protection locked="0"/>
    </xf>
    <xf numFmtId="0" fontId="2" fillId="5" borderId="0" xfId="0" applyFont="1" applyFill="1" applyAlignment="1">
      <alignment horizontal="center"/>
    </xf>
    <xf numFmtId="0" fontId="4" fillId="11" borderId="37" xfId="0" applyFont="1" applyFill="1" applyBorder="1" applyAlignment="1">
      <alignment horizontal="center"/>
    </xf>
    <xf numFmtId="0" fontId="0" fillId="0" borderId="50" xfId="0" applyBorder="1" applyAlignment="1">
      <alignment horizontal="left" vertical="center"/>
    </xf>
    <xf numFmtId="0" fontId="0" fillId="0" borderId="52" xfId="0" applyBorder="1" applyAlignment="1">
      <alignment horizontal="left" vertical="center"/>
    </xf>
    <xf numFmtId="0" fontId="0" fillId="7" borderId="53" xfId="0" applyFill="1" applyBorder="1" applyAlignment="1">
      <alignment horizontal="left" vertical="center"/>
    </xf>
    <xf numFmtId="0" fontId="0" fillId="7" borderId="72" xfId="0" applyFill="1" applyBorder="1" applyAlignment="1">
      <alignment horizontal="left" vertical="center"/>
    </xf>
    <xf numFmtId="9" fontId="0" fillId="7" borderId="45" xfId="1" applyFont="1" applyFill="1" applyBorder="1" applyAlignment="1">
      <alignment horizontal="left" vertical="center"/>
    </xf>
    <xf numFmtId="9" fontId="0" fillId="7" borderId="71" xfId="1" applyFont="1" applyFill="1" applyBorder="1" applyAlignment="1">
      <alignment horizontal="left" vertical="center"/>
    </xf>
    <xf numFmtId="0" fontId="33" fillId="12" borderId="37" xfId="0" applyFont="1" applyFill="1" applyBorder="1" applyAlignment="1">
      <alignment horizontal="left"/>
    </xf>
    <xf numFmtId="0" fontId="10" fillId="5" borderId="38" xfId="0" applyFont="1" applyFill="1" applyBorder="1" applyAlignment="1" applyProtection="1">
      <alignment horizontal="left"/>
    </xf>
    <xf numFmtId="0" fontId="10" fillId="5" borderId="25" xfId="0" applyFont="1" applyFill="1" applyBorder="1" applyAlignment="1" applyProtection="1">
      <alignment horizontal="left"/>
    </xf>
    <xf numFmtId="0" fontId="10" fillId="5" borderId="10" xfId="0" applyFont="1" applyFill="1" applyBorder="1" applyAlignment="1" applyProtection="1">
      <alignment horizontal="left"/>
    </xf>
    <xf numFmtId="0" fontId="14" fillId="5" borderId="37" xfId="0" applyFont="1" applyFill="1" applyBorder="1" applyAlignment="1" applyProtection="1">
      <alignment horizontal="center" vertical="center"/>
    </xf>
    <xf numFmtId="0" fontId="0" fillId="3" borderId="1" xfId="0" applyFill="1" applyBorder="1" applyAlignment="1" applyProtection="1">
      <alignment horizontal="center" vertical="center"/>
      <protection locked="0"/>
    </xf>
    <xf numFmtId="0" fontId="25" fillId="0" borderId="0" xfId="0" applyFont="1" applyAlignment="1" applyProtection="1">
      <alignment horizontal="center"/>
    </xf>
    <xf numFmtId="0" fontId="25" fillId="0" borderId="47" xfId="0" applyFont="1" applyBorder="1" applyAlignment="1" applyProtection="1">
      <alignment horizontal="center"/>
    </xf>
    <xf numFmtId="0" fontId="10" fillId="5" borderId="9" xfId="0" applyFont="1" applyFill="1" applyBorder="1" applyAlignment="1" applyProtection="1">
      <alignment horizontal="left"/>
    </xf>
    <xf numFmtId="0" fontId="9" fillId="5" borderId="2" xfId="0" applyFont="1" applyFill="1" applyBorder="1" applyAlignment="1" applyProtection="1">
      <alignment horizontal="center" vertical="center" wrapText="1"/>
    </xf>
    <xf numFmtId="0" fontId="9" fillId="5" borderId="5" xfId="0" applyFont="1" applyFill="1" applyBorder="1" applyAlignment="1" applyProtection="1">
      <alignment horizontal="center" vertical="center" wrapText="1"/>
    </xf>
    <xf numFmtId="0" fontId="13" fillId="0" borderId="36" xfId="0" applyFont="1" applyBorder="1" applyAlignment="1">
      <alignment horizontal="left" vertical="center"/>
    </xf>
    <xf numFmtId="0" fontId="13" fillId="0" borderId="41" xfId="0" applyFont="1" applyBorder="1" applyAlignment="1">
      <alignment horizontal="left" vertical="center"/>
    </xf>
    <xf numFmtId="0" fontId="13" fillId="0" borderId="39" xfId="0" applyFont="1" applyBorder="1" applyAlignment="1">
      <alignment horizontal="left" vertical="center"/>
    </xf>
    <xf numFmtId="0" fontId="0" fillId="0" borderId="36" xfId="0" applyBorder="1" applyAlignment="1">
      <alignment horizontal="left"/>
    </xf>
    <xf numFmtId="0" fontId="0" fillId="0" borderId="41" xfId="0" applyBorder="1" applyAlignment="1">
      <alignment horizontal="left"/>
    </xf>
    <xf numFmtId="0" fontId="0" fillId="0" borderId="39" xfId="0" applyBorder="1" applyAlignment="1">
      <alignment horizontal="left"/>
    </xf>
    <xf numFmtId="0" fontId="0" fillId="0" borderId="39" xfId="0" applyBorder="1" applyAlignment="1">
      <alignment horizontal="left" vertical="center"/>
    </xf>
    <xf numFmtId="0" fontId="0" fillId="7" borderId="36" xfId="0" applyFill="1" applyBorder="1" applyAlignment="1">
      <alignment horizontal="left" vertical="center"/>
    </xf>
    <xf numFmtId="0" fontId="0" fillId="7" borderId="41" xfId="0" applyFill="1" applyBorder="1" applyAlignment="1">
      <alignment horizontal="left" vertical="center"/>
    </xf>
    <xf numFmtId="0" fontId="0" fillId="7" borderId="39" xfId="0" applyFill="1" applyBorder="1" applyAlignment="1">
      <alignment horizontal="left" vertical="center"/>
    </xf>
    <xf numFmtId="0" fontId="0" fillId="0" borderId="36" xfId="0" applyBorder="1" applyAlignment="1">
      <alignment horizontal="left" vertical="center" wrapText="1"/>
    </xf>
    <xf numFmtId="0" fontId="0" fillId="0" borderId="41" xfId="0" applyBorder="1" applyAlignment="1">
      <alignment horizontal="left" vertical="center" wrapText="1"/>
    </xf>
    <xf numFmtId="0" fontId="0" fillId="0" borderId="39" xfId="0" applyBorder="1" applyAlignment="1">
      <alignment horizontal="left" vertical="center" wrapText="1"/>
    </xf>
    <xf numFmtId="0" fontId="0" fillId="0" borderId="1" xfId="0" applyBorder="1" applyAlignment="1">
      <alignment horizontal="left" vertical="center"/>
    </xf>
    <xf numFmtId="0" fontId="13" fillId="0" borderId="1" xfId="0" applyFont="1" applyBorder="1" applyAlignment="1">
      <alignment horizontal="center" vertical="center"/>
    </xf>
    <xf numFmtId="0" fontId="0" fillId="0" borderId="1" xfId="0" applyBorder="1" applyAlignment="1">
      <alignment horizontal="center"/>
    </xf>
    <xf numFmtId="0" fontId="16" fillId="0" borderId="1" xfId="2" applyFont="1" applyBorder="1" applyAlignment="1">
      <alignment horizontal="left" vertical="center"/>
    </xf>
    <xf numFmtId="0" fontId="0" fillId="7" borderId="1" xfId="0" applyFill="1" applyBorder="1" applyAlignment="1">
      <alignment horizontal="left"/>
    </xf>
    <xf numFmtId="0" fontId="16" fillId="0" borderId="1" xfId="2" applyFont="1" applyBorder="1" applyAlignment="1">
      <alignment horizontal="left"/>
    </xf>
    <xf numFmtId="0" fontId="2" fillId="7" borderId="2" xfId="0" applyFont="1" applyFill="1" applyBorder="1" applyAlignment="1">
      <alignment horizontal="left"/>
    </xf>
    <xf numFmtId="0" fontId="2" fillId="7" borderId="3" xfId="0" applyFont="1" applyFill="1" applyBorder="1" applyAlignment="1">
      <alignment horizontal="left"/>
    </xf>
    <xf numFmtId="0" fontId="2" fillId="7" borderId="5" xfId="0" applyFont="1" applyFill="1" applyBorder="1" applyAlignment="1">
      <alignment horizontal="left"/>
    </xf>
    <xf numFmtId="166" fontId="0" fillId="0" borderId="2" xfId="0" applyNumberFormat="1" applyBorder="1" applyAlignment="1">
      <alignment horizontal="center"/>
    </xf>
    <xf numFmtId="166" fontId="0" fillId="0" borderId="5" xfId="0" applyNumberFormat="1" applyBorder="1" applyAlignment="1">
      <alignment horizontal="center"/>
    </xf>
    <xf numFmtId="0" fontId="0" fillId="7" borderId="2" xfId="0" applyFill="1" applyBorder="1" applyAlignment="1">
      <alignment horizontal="center" wrapText="1"/>
    </xf>
    <xf numFmtId="0" fontId="0" fillId="7" borderId="5" xfId="0" applyFill="1" applyBorder="1" applyAlignment="1">
      <alignment horizontal="center" wrapText="1"/>
    </xf>
    <xf numFmtId="165" fontId="0" fillId="0" borderId="2" xfId="0" applyNumberFormat="1" applyBorder="1" applyAlignment="1">
      <alignment horizontal="center"/>
    </xf>
    <xf numFmtId="165" fontId="0" fillId="0" borderId="5" xfId="0" applyNumberFormat="1" applyBorder="1" applyAlignment="1">
      <alignment horizontal="center"/>
    </xf>
    <xf numFmtId="0" fontId="0" fillId="0" borderId="37" xfId="0" applyBorder="1" applyAlignment="1">
      <alignment horizontal="left" vertical="center" wrapText="1"/>
    </xf>
    <xf numFmtId="170" fontId="13" fillId="0" borderId="2" xfId="3" applyNumberFormat="1" applyFont="1" applyBorder="1" applyAlignment="1">
      <alignment horizontal="center"/>
    </xf>
    <xf numFmtId="170" fontId="13" fillId="0" borderId="5" xfId="3" applyNumberFormat="1" applyFont="1" applyBorder="1" applyAlignment="1">
      <alignment horizontal="center"/>
    </xf>
    <xf numFmtId="0" fontId="0" fillId="7" borderId="6" xfId="0" applyFill="1" applyBorder="1" applyAlignment="1">
      <alignment horizontal="center" wrapText="1"/>
    </xf>
    <xf numFmtId="0" fontId="0" fillId="7" borderId="7" xfId="0" applyFill="1" applyBorder="1" applyAlignment="1">
      <alignment horizontal="center" wrapText="1"/>
    </xf>
    <xf numFmtId="0" fontId="0" fillId="7" borderId="2" xfId="0" applyFill="1" applyBorder="1" applyAlignment="1">
      <alignment horizontal="left"/>
    </xf>
    <xf numFmtId="0" fontId="0" fillId="7" borderId="5" xfId="0" applyFill="1" applyBorder="1" applyAlignment="1">
      <alignment horizontal="left"/>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9" xfId="0" applyFont="1" applyFill="1" applyBorder="1" applyAlignment="1">
      <alignment horizontal="center" vertical="center"/>
    </xf>
    <xf numFmtId="184" fontId="1" fillId="0" borderId="2" xfId="3" applyNumberFormat="1" applyFont="1" applyFill="1" applyBorder="1" applyAlignment="1">
      <alignment horizontal="center"/>
    </xf>
    <xf numFmtId="184" fontId="1" fillId="0" borderId="5" xfId="3" applyNumberFormat="1" applyFont="1" applyFill="1" applyBorder="1" applyAlignment="1">
      <alignment horizontal="center"/>
    </xf>
    <xf numFmtId="10" fontId="1" fillId="0" borderId="2" xfId="1" applyNumberFormat="1" applyFont="1" applyFill="1" applyBorder="1" applyAlignment="1">
      <alignment horizontal="center"/>
    </xf>
    <xf numFmtId="10" fontId="1" fillId="0" borderId="5" xfId="1" applyNumberFormat="1" applyFont="1" applyFill="1" applyBorder="1" applyAlignment="1">
      <alignment horizontal="center"/>
    </xf>
    <xf numFmtId="10" fontId="1" fillId="0" borderId="2" xfId="0" applyNumberFormat="1" applyFont="1" applyFill="1" applyBorder="1" applyAlignment="1">
      <alignment horizontal="center"/>
    </xf>
    <xf numFmtId="10" fontId="1" fillId="0" borderId="5" xfId="0" applyNumberFormat="1" applyFont="1" applyFill="1" applyBorder="1" applyAlignment="1">
      <alignment horizontal="center"/>
    </xf>
    <xf numFmtId="0" fontId="13" fillId="7" borderId="1" xfId="0" applyFont="1" applyFill="1" applyBorder="1" applyAlignment="1">
      <alignment horizontal="left"/>
    </xf>
    <xf numFmtId="0" fontId="13" fillId="0" borderId="24" xfId="0" applyFont="1" applyBorder="1" applyAlignment="1">
      <alignment horizontal="left" vertical="center"/>
    </xf>
    <xf numFmtId="0" fontId="13" fillId="0" borderId="0" xfId="0" applyFont="1" applyBorder="1" applyAlignment="1">
      <alignment horizontal="left" vertical="center"/>
    </xf>
    <xf numFmtId="0" fontId="0" fillId="0" borderId="1" xfId="0" applyBorder="1" applyAlignment="1">
      <alignment horizontal="left"/>
    </xf>
    <xf numFmtId="0" fontId="13" fillId="0" borderId="42" xfId="0" applyFont="1" applyBorder="1" applyAlignment="1">
      <alignment horizontal="left" vertical="center"/>
    </xf>
    <xf numFmtId="0" fontId="13" fillId="0" borderId="44" xfId="0" applyFont="1" applyBorder="1" applyAlignment="1">
      <alignment horizontal="left" vertical="center"/>
    </xf>
    <xf numFmtId="0" fontId="13" fillId="0" borderId="7" xfId="0" applyFont="1" applyBorder="1" applyAlignment="1">
      <alignment horizontal="left" vertical="center"/>
    </xf>
    <xf numFmtId="0" fontId="13" fillId="0" borderId="43" xfId="0" applyFont="1" applyBorder="1" applyAlignment="1">
      <alignment horizontal="left" vertical="center"/>
    </xf>
    <xf numFmtId="0" fontId="13" fillId="0" borderId="73" xfId="0" applyFont="1" applyBorder="1" applyAlignment="1">
      <alignment horizontal="left" vertical="center"/>
    </xf>
    <xf numFmtId="0" fontId="13" fillId="0" borderId="38" xfId="0" applyFont="1" applyBorder="1" applyAlignment="1">
      <alignment horizontal="left" vertical="center"/>
    </xf>
    <xf numFmtId="0" fontId="13" fillId="0" borderId="25" xfId="0" applyFont="1" applyBorder="1" applyAlignment="1">
      <alignment horizontal="left" vertical="center"/>
    </xf>
    <xf numFmtId="0" fontId="13" fillId="0" borderId="10" xfId="0" applyFont="1" applyBorder="1" applyAlignment="1">
      <alignment horizontal="left" vertical="center"/>
    </xf>
  </cellXfs>
  <cellStyles count="10">
    <cellStyle name="Excel Built-in Normal" xfId="5" xr:uid="{00000000-0005-0000-0000-000001000000}"/>
    <cellStyle name="Lien hypertexte" xfId="2" builtinId="8"/>
    <cellStyle name="Milliers 2" xfId="7" xr:uid="{00000000-0005-0000-0000-000003000000}"/>
    <cellStyle name="Milliers 2 2" xfId="9" xr:uid="{F0DF7E59-48F8-4FA0-983F-44C25045ED67}"/>
    <cellStyle name="Monétaire" xfId="3" builtinId="4"/>
    <cellStyle name="Normal" xfId="0" builtinId="0"/>
    <cellStyle name="Normal 2" xfId="4" xr:uid="{00000000-0005-0000-0000-000006000000}"/>
    <cellStyle name="Pourcentage" xfId="1" builtinId="5"/>
    <cellStyle name="Pourcentage 2" xfId="6" xr:uid="{00000000-0005-0000-0000-000008000000}"/>
    <cellStyle name="Texte explicatif" xfId="8" builtinId="53"/>
  </cellStyles>
  <dxfs count="4">
    <dxf>
      <fill>
        <patternFill>
          <bgColor theme="7" tint="0.39994506668294322"/>
        </patternFill>
      </fill>
      <border>
        <left style="thin">
          <color auto="1"/>
        </left>
        <right style="thin">
          <color auto="1"/>
        </right>
        <top style="thin">
          <color auto="1"/>
        </top>
        <bottom style="thin">
          <color auto="1"/>
        </bottom>
      </border>
    </dxf>
    <dxf>
      <font>
        <color theme="0"/>
      </font>
    </dxf>
    <dxf>
      <font>
        <b/>
        <i val="0"/>
      </font>
      <fill>
        <patternFill>
          <bgColor theme="7" tint="0.79998168889431442"/>
        </patternFill>
      </fill>
      <border>
        <left style="thin">
          <color auto="1"/>
        </left>
        <right style="thin">
          <color auto="1"/>
        </right>
        <top style="thin">
          <color auto="1"/>
        </top>
        <bottom style="thin">
          <color auto="1"/>
        </bottom>
        <vertical/>
        <horizontal/>
      </border>
    </dxf>
    <dxf>
      <font>
        <color rgb="FFFF0000"/>
      </font>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Pression de transport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xVal>
            <c:numRef>
              <c:f>Sources!$E$70:$E$71</c:f>
            </c:numRef>
          </c:xVal>
          <c:yVal>
            <c:numRef>
              <c:f>Sources!$F$70:$F$71</c:f>
            </c:numRef>
          </c:yVal>
          <c:smooth val="0"/>
          <c:extLst>
            <c:ext xmlns:c16="http://schemas.microsoft.com/office/drawing/2014/chart" uri="{C3380CC4-5D6E-409C-BE32-E72D297353CC}">
              <c16:uniqueId val="{00000000-2F3F-44FD-9DD5-98E9E1D1A5AA}"/>
            </c:ext>
          </c:extLst>
        </c:ser>
        <c:dLbls>
          <c:showLegendKey val="0"/>
          <c:showVal val="0"/>
          <c:showCatName val="0"/>
          <c:showSerName val="0"/>
          <c:showPercent val="0"/>
          <c:showBubbleSize val="0"/>
        </c:dLbls>
        <c:axId val="559707920"/>
        <c:axId val="559708248"/>
      </c:scatterChart>
      <c:valAx>
        <c:axId val="559707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9708248"/>
        <c:crosses val="autoZero"/>
        <c:crossBetween val="midCat"/>
      </c:valAx>
      <c:valAx>
        <c:axId val="55970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97079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28576</xdr:colOff>
      <xdr:row>0</xdr:row>
      <xdr:rowOff>116417</xdr:rowOff>
    </xdr:from>
    <xdr:to>
      <xdr:col>3</xdr:col>
      <xdr:colOff>338667</xdr:colOff>
      <xdr:row>4</xdr:row>
      <xdr:rowOff>169333</xdr:rowOff>
    </xdr:to>
    <xdr:pic>
      <xdr:nvPicPr>
        <xdr:cNvPr id="2" name="Image 1" descr="bloc marque energie positive horizontal">
          <a:extLst>
            <a:ext uri="{FF2B5EF4-FFF2-40B4-BE49-F238E27FC236}">
              <a16:creationId xmlns:a16="http://schemas.microsoft.com/office/drawing/2014/main" id="{5893A769-6EA4-4753-9A2B-873F6EC539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6" y="116417"/>
          <a:ext cx="2215091" cy="10794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64</xdr:row>
      <xdr:rowOff>161925</xdr:rowOff>
    </xdr:from>
    <xdr:to>
      <xdr:col>7</xdr:col>
      <xdr:colOff>476250</xdr:colOff>
      <xdr:row>77</xdr:row>
      <xdr:rowOff>0</xdr:rowOff>
    </xdr:to>
    <xdr:graphicFrame macro="">
      <xdr:nvGraphicFramePr>
        <xdr:cNvPr id="2" name="Graphique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IBEYROC\Desktop\Volet%20financier_AAP_grappes_H2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Dépenses Infra"/>
      <sheetName val="2. Dépenses Usages"/>
      <sheetName val="2. Plan de financement"/>
      <sheetName val="5. Calendrier d'exécution"/>
      <sheetName val="Notice"/>
      <sheetName val="Hypothèses"/>
      <sheetName val=" BP Infrastructures"/>
      <sheetName val="TCO Véhicules"/>
      <sheetName val="GES évités"/>
      <sheetName val="Sources"/>
    </sheetNames>
    <sheetDataSet>
      <sheetData sheetId="0"/>
      <sheetData sheetId="1"/>
      <sheetData sheetId="2"/>
      <sheetData sheetId="3"/>
      <sheetData sheetId="4"/>
      <sheetData sheetId="5">
        <row r="9">
          <cell r="E9" t="str">
            <v/>
          </cell>
        </row>
      </sheetData>
      <sheetData sheetId="6"/>
      <sheetData sheetId="7">
        <row r="27">
          <cell r="D27" t="e">
            <v>#N/A</v>
          </cell>
        </row>
      </sheetData>
      <sheetData sheetId="8"/>
      <sheetData sheetId="9">
        <row r="53">
          <cell r="B53" t="str">
            <v>VUL de PTAC &lt;2,5t  (fourgonnette)</v>
          </cell>
          <cell r="C53">
            <v>15.520000000000001</v>
          </cell>
          <cell r="D53">
            <v>6.1</v>
          </cell>
          <cell r="E53">
            <v>0.74</v>
          </cell>
        </row>
        <row r="54">
          <cell r="B54" t="str">
            <v>VUL de PTAC &gt;2,5t (fourgon)</v>
          </cell>
          <cell r="C54">
            <v>11.074285714285713</v>
          </cell>
          <cell r="D54">
            <v>12.1</v>
          </cell>
          <cell r="E54">
            <v>1.2</v>
          </cell>
        </row>
        <row r="55">
          <cell r="B55" t="str">
            <v>Bus standard (12 m)</v>
          </cell>
          <cell r="D55">
            <v>40</v>
          </cell>
          <cell r="E55">
            <v>9</v>
          </cell>
        </row>
        <row r="56">
          <cell r="B56" t="str">
            <v>Bus articulé (18 m)</v>
          </cell>
          <cell r="D56">
            <v>50</v>
          </cell>
        </row>
        <row r="57">
          <cell r="B57" t="str">
            <v>Autocar</v>
          </cell>
          <cell r="D57">
            <v>30</v>
          </cell>
        </row>
        <row r="58">
          <cell r="B58" t="str">
            <v>BOM</v>
          </cell>
          <cell r="D58">
            <v>70</v>
          </cell>
        </row>
        <row r="59">
          <cell r="B59" t="str">
            <v xml:space="preserve">Camion 5,5 t ou 7,5 t </v>
          </cell>
        </row>
        <row r="60">
          <cell r="B60" t="str">
            <v>Camion 19 t</v>
          </cell>
        </row>
        <row r="61">
          <cell r="B61" t="str">
            <v>Camion 44 t</v>
          </cell>
        </row>
        <row r="62">
          <cell r="B62" t="str">
            <v>Autre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ecologique-solidaire.gouv.fr/sites/default/files/2019-07-Rapport-IRVE.pdf" TargetMode="External"/><Relationship Id="rId3" Type="http://schemas.openxmlformats.org/officeDocument/2006/relationships/hyperlink" Target="https://www.ecologique-solidaire.gouv.fr/sites/default/files/Th%C3%A9ma%20-%20Concept%20autoroute%20%C3%A9lectrique.pdf" TargetMode="External"/><Relationship Id="rId7" Type="http://schemas.openxmlformats.org/officeDocument/2006/relationships/hyperlink" Target="https://www.service-public.fr/professionnels-entreprises/vosdroits/F31222" TargetMode="External"/><Relationship Id="rId12" Type="http://schemas.openxmlformats.org/officeDocument/2006/relationships/comments" Target="../comments6.xml"/><Relationship Id="rId2" Type="http://schemas.openxmlformats.org/officeDocument/2006/relationships/hyperlink" Target="http://temis.documentation.developpement-durable.gouv.fr/docs/Temis/0088/Temis-0088213/23863.pdf" TargetMode="External"/><Relationship Id="rId1" Type="http://schemas.openxmlformats.org/officeDocument/2006/relationships/hyperlink" Target="http://temis.documentation.developpement-durable.gouv.fr/docs/Temis/0088/Temis-0088213/23863.pdf" TargetMode="External"/><Relationship Id="rId6" Type="http://schemas.openxmlformats.org/officeDocument/2006/relationships/hyperlink" Target="https://www.prix-carburants.developpement-durable.gouv.fr/petrole/se_cons_fr.htm" TargetMode="External"/><Relationship Id="rId11" Type="http://schemas.openxmlformats.org/officeDocument/2006/relationships/vmlDrawing" Target="../drawings/vmlDrawing6.vml"/><Relationship Id="rId5" Type="http://schemas.openxmlformats.org/officeDocument/2006/relationships/hyperlink" Target="https://www.douane.gouv.fr/demarche/demander-le-remboursement-partiel-de-la-ticpe-exploitant-de-taxi" TargetMode="External"/><Relationship Id="rId10" Type="http://schemas.openxmlformats.org/officeDocument/2006/relationships/drawing" Target="../drawings/drawing2.xml"/><Relationship Id="rId4" Type="http://schemas.openxmlformats.org/officeDocument/2006/relationships/hyperlink" Target="https://www.ecologique-solidaire.gouv.fr/sites/default/files/Th%C3%A9ma%20-%20Concept%20autoroute%20%C3%A9lectrique.pdf" TargetMode="External"/><Relationship Id="rId9"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E13D8-FD5C-429F-8998-9802B693EB6E}">
  <dimension ref="B2:M27"/>
  <sheetViews>
    <sheetView showGridLines="0" tabSelected="1" zoomScale="90" zoomScaleNormal="90" workbookViewId="0">
      <selection activeCell="N9" sqref="N9"/>
    </sheetView>
  </sheetViews>
  <sheetFormatPr baseColWidth="10" defaultColWidth="11.42578125" defaultRowHeight="15" x14ac:dyDescent="0.25"/>
  <cols>
    <col min="1" max="1" width="2.85546875" customWidth="1"/>
    <col min="2" max="2" width="2.5703125" customWidth="1"/>
    <col min="3" max="3" width="26" customWidth="1"/>
    <col min="4" max="4" width="18.85546875" customWidth="1"/>
    <col min="5" max="5" width="14.42578125" customWidth="1"/>
    <col min="8" max="8" width="14" customWidth="1"/>
    <col min="10" max="10" width="17.42578125" customWidth="1"/>
  </cols>
  <sheetData>
    <row r="2" spans="2:13" x14ac:dyDescent="0.25">
      <c r="M2" t="s">
        <v>54</v>
      </c>
    </row>
    <row r="3" spans="2:13" ht="36" customHeight="1" x14ac:dyDescent="0.25"/>
    <row r="5" spans="2:13" ht="116.25" customHeight="1" x14ac:dyDescent="0.25">
      <c r="B5" s="487" t="s">
        <v>387</v>
      </c>
      <c r="C5" s="487"/>
      <c r="D5" s="487"/>
      <c r="E5" s="487"/>
      <c r="F5" s="487"/>
      <c r="G5" s="487"/>
      <c r="H5" s="487"/>
      <c r="I5" s="487"/>
      <c r="J5" s="487"/>
      <c r="K5" t="s">
        <v>54</v>
      </c>
      <c r="L5" t="s">
        <v>388</v>
      </c>
    </row>
    <row r="6" spans="2:13" ht="21.95" customHeight="1" x14ac:dyDescent="0.25">
      <c r="B6" s="474"/>
      <c r="C6" s="474"/>
      <c r="D6" s="474"/>
      <c r="E6" s="474"/>
      <c r="F6" s="474"/>
      <c r="G6" s="474"/>
      <c r="H6" s="474"/>
      <c r="I6" s="474"/>
      <c r="J6" s="474"/>
    </row>
    <row r="7" spans="2:13" s="475" customFormat="1" ht="27" customHeight="1" x14ac:dyDescent="0.25">
      <c r="B7" s="488" t="s">
        <v>367</v>
      </c>
      <c r="C7" s="488"/>
      <c r="D7" s="488"/>
      <c r="E7" s="488"/>
      <c r="F7" s="488"/>
      <c r="G7" s="488"/>
      <c r="H7" s="488"/>
      <c r="I7" s="488"/>
      <c r="J7" s="488"/>
    </row>
    <row r="8" spans="2:13" s="475" customFormat="1" ht="27" customHeight="1" x14ac:dyDescent="0.25">
      <c r="B8" s="477" t="s">
        <v>368</v>
      </c>
      <c r="C8" s="478" t="s">
        <v>377</v>
      </c>
      <c r="D8" s="484" t="s">
        <v>382</v>
      </c>
      <c r="E8" s="485"/>
      <c r="F8" s="485"/>
      <c r="G8" s="485"/>
      <c r="H8" s="485"/>
      <c r="I8" s="485"/>
      <c r="J8" s="486"/>
    </row>
    <row r="9" spans="2:13" s="475" customFormat="1" ht="36.75" customHeight="1" x14ac:dyDescent="0.25">
      <c r="B9" s="477" t="s">
        <v>369</v>
      </c>
      <c r="C9" s="478" t="s">
        <v>376</v>
      </c>
      <c r="D9" s="484" t="s">
        <v>381</v>
      </c>
      <c r="E9" s="485"/>
      <c r="F9" s="485"/>
      <c r="G9" s="485"/>
      <c r="H9" s="485"/>
      <c r="I9" s="485"/>
      <c r="J9" s="486"/>
    </row>
    <row r="10" spans="2:13" s="475" customFormat="1" ht="27" customHeight="1" x14ac:dyDescent="0.25">
      <c r="B10" s="477" t="s">
        <v>372</v>
      </c>
      <c r="C10" s="478" t="s">
        <v>370</v>
      </c>
      <c r="D10" s="489" t="s">
        <v>371</v>
      </c>
      <c r="E10" s="490"/>
      <c r="F10" s="490"/>
      <c r="G10" s="490"/>
      <c r="H10" s="490"/>
      <c r="I10" s="490"/>
      <c r="J10" s="491"/>
    </row>
    <row r="11" spans="2:13" s="475" customFormat="1" ht="27" customHeight="1" x14ac:dyDescent="0.25">
      <c r="B11" s="477" t="s">
        <v>373</v>
      </c>
      <c r="C11" s="478" t="s">
        <v>374</v>
      </c>
      <c r="D11" s="483" t="s">
        <v>375</v>
      </c>
      <c r="E11" s="483"/>
      <c r="F11" s="483"/>
      <c r="G11" s="483"/>
      <c r="H11" s="483"/>
      <c r="I11" s="483"/>
      <c r="J11" s="483"/>
    </row>
    <row r="12" spans="2:13" s="475" customFormat="1" ht="18.75" customHeight="1" x14ac:dyDescent="0.25">
      <c r="B12" s="479" t="s">
        <v>183</v>
      </c>
      <c r="C12" s="478"/>
      <c r="D12" s="483" t="s">
        <v>383</v>
      </c>
      <c r="E12" s="483"/>
      <c r="F12" s="483"/>
      <c r="G12" s="483"/>
      <c r="H12" s="483"/>
      <c r="I12" s="483"/>
      <c r="J12" s="483"/>
    </row>
    <row r="13" spans="2:13" s="475" customFormat="1" ht="18.75" customHeight="1" x14ac:dyDescent="0.25">
      <c r="B13" s="477"/>
      <c r="C13" s="478" t="s">
        <v>378</v>
      </c>
      <c r="D13" s="483" t="s">
        <v>384</v>
      </c>
      <c r="E13" s="483"/>
      <c r="F13" s="483"/>
      <c r="G13" s="483"/>
      <c r="H13" s="483"/>
      <c r="I13" s="483"/>
      <c r="J13" s="483"/>
    </row>
    <row r="14" spans="2:13" s="475" customFormat="1" ht="18.75" customHeight="1" x14ac:dyDescent="0.25">
      <c r="B14" s="477"/>
      <c r="C14" s="478" t="s">
        <v>379</v>
      </c>
      <c r="D14" s="483" t="s">
        <v>385</v>
      </c>
      <c r="E14" s="483"/>
      <c r="F14" s="483"/>
      <c r="G14" s="483"/>
      <c r="H14" s="483"/>
      <c r="I14" s="483"/>
      <c r="J14" s="483"/>
    </row>
    <row r="15" spans="2:13" s="475" customFormat="1" ht="18.75" customHeight="1" x14ac:dyDescent="0.25">
      <c r="B15" s="477"/>
      <c r="C15" s="478" t="s">
        <v>380</v>
      </c>
      <c r="D15" s="483" t="s">
        <v>386</v>
      </c>
      <c r="E15" s="483"/>
      <c r="F15" s="483"/>
      <c r="G15" s="483"/>
      <c r="H15" s="483"/>
      <c r="I15" s="483"/>
      <c r="J15" s="483"/>
    </row>
    <row r="16" spans="2:13" s="475" customFormat="1" ht="15.75" x14ac:dyDescent="0.25">
      <c r="B16" s="476"/>
      <c r="C16" s="476"/>
      <c r="D16" s="476"/>
      <c r="E16" s="476"/>
      <c r="F16" s="476"/>
      <c r="G16" s="476"/>
      <c r="H16" s="476"/>
      <c r="I16" s="476"/>
      <c r="J16" s="476"/>
    </row>
    <row r="17" spans="4:4" s="475" customFormat="1" ht="15.75" x14ac:dyDescent="0.25"/>
    <row r="18" spans="4:4" s="475" customFormat="1" ht="15.75" x14ac:dyDescent="0.25">
      <c r="D18" s="475" t="s">
        <v>54</v>
      </c>
    </row>
    <row r="19" spans="4:4" s="475" customFormat="1" ht="15.75" x14ac:dyDescent="0.25"/>
    <row r="20" spans="4:4" s="475" customFormat="1" ht="15.6" customHeight="1" x14ac:dyDescent="0.25"/>
    <row r="21" spans="4:4" s="475" customFormat="1" ht="15.6" customHeight="1" x14ac:dyDescent="0.25"/>
    <row r="22" spans="4:4" s="475" customFormat="1" ht="15.75" x14ac:dyDescent="0.25"/>
    <row r="23" spans="4:4" s="475" customFormat="1" ht="15.75" x14ac:dyDescent="0.25"/>
    <row r="24" spans="4:4" s="475" customFormat="1" ht="15.75" x14ac:dyDescent="0.25"/>
    <row r="25" spans="4:4" s="475" customFormat="1" ht="15.75" x14ac:dyDescent="0.25"/>
    <row r="26" spans="4:4" s="475" customFormat="1" ht="15.75" x14ac:dyDescent="0.25"/>
    <row r="27" spans="4:4" s="475" customFormat="1" ht="15.75" x14ac:dyDescent="0.25"/>
  </sheetData>
  <mergeCells count="10">
    <mergeCell ref="D13:J13"/>
    <mergeCell ref="D14:J14"/>
    <mergeCell ref="D15:J15"/>
    <mergeCell ref="D9:J9"/>
    <mergeCell ref="B5:J5"/>
    <mergeCell ref="B7:J7"/>
    <mergeCell ref="D8:J8"/>
    <mergeCell ref="D10:J10"/>
    <mergeCell ref="D11:J11"/>
    <mergeCell ref="D12:J12"/>
  </mergeCell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theme="0" tint="-0.14999847407452621"/>
  </sheetPr>
  <dimension ref="A2:R111"/>
  <sheetViews>
    <sheetView workbookViewId="0">
      <selection activeCell="E130" sqref="E130"/>
    </sheetView>
  </sheetViews>
  <sheetFormatPr baseColWidth="10" defaultRowHeight="15" outlineLevelRow="1" x14ac:dyDescent="0.25"/>
  <cols>
    <col min="2" max="2" width="37.140625" customWidth="1"/>
    <col min="3" max="3" width="27" customWidth="1"/>
    <col min="4" max="4" width="22.140625" customWidth="1"/>
    <col min="5" max="5" width="28" customWidth="1"/>
    <col min="6" max="6" width="22.140625" customWidth="1"/>
  </cols>
  <sheetData>
    <row r="2" spans="1:18" hidden="1" outlineLevel="1" x14ac:dyDescent="0.25">
      <c r="A2" s="21" t="s">
        <v>53</v>
      </c>
    </row>
    <row r="3" spans="1:18" hidden="1" outlineLevel="1" x14ac:dyDescent="0.25">
      <c r="A3" s="21"/>
      <c r="C3" s="686" t="s">
        <v>40</v>
      </c>
      <c r="D3" s="687"/>
      <c r="E3" s="672" t="s">
        <v>48</v>
      </c>
      <c r="F3" s="672"/>
      <c r="G3" s="672"/>
      <c r="H3" s="672"/>
      <c r="I3" s="672"/>
      <c r="J3" s="672"/>
      <c r="K3" s="672"/>
      <c r="L3" s="672"/>
      <c r="M3" s="672"/>
      <c r="N3" s="672"/>
      <c r="O3" s="672"/>
      <c r="P3" s="672"/>
      <c r="Q3" s="672"/>
      <c r="R3" s="672"/>
    </row>
    <row r="4" spans="1:18" hidden="1" outlineLevel="1" x14ac:dyDescent="0.25">
      <c r="B4" s="690" t="s">
        <v>235</v>
      </c>
      <c r="C4" s="83" t="s">
        <v>115</v>
      </c>
      <c r="D4" s="84">
        <v>1.367</v>
      </c>
      <c r="E4" s="673" t="s">
        <v>103</v>
      </c>
      <c r="F4" s="673"/>
      <c r="G4" s="673"/>
      <c r="H4" s="673"/>
      <c r="I4" s="673"/>
      <c r="J4" s="673"/>
      <c r="K4" s="673"/>
      <c r="L4" s="673"/>
      <c r="M4" s="673"/>
      <c r="N4" s="673"/>
      <c r="O4" s="673"/>
      <c r="P4" s="673"/>
      <c r="Q4" s="673"/>
      <c r="R4" s="673"/>
    </row>
    <row r="5" spans="1:18" hidden="1" outlineLevel="1" x14ac:dyDescent="0.25">
      <c r="B5" s="691"/>
      <c r="C5" s="83" t="s">
        <v>117</v>
      </c>
      <c r="D5" s="84">
        <f>D4-0.3055</f>
        <v>1.0615000000000001</v>
      </c>
      <c r="E5" s="673" t="s">
        <v>120</v>
      </c>
      <c r="F5" s="673"/>
      <c r="G5" s="673"/>
      <c r="H5" s="673"/>
      <c r="I5" s="673"/>
      <c r="J5" s="673"/>
      <c r="K5" s="673"/>
      <c r="L5" s="673"/>
      <c r="M5" s="673"/>
      <c r="N5" s="673"/>
      <c r="O5" s="673"/>
      <c r="P5" s="673"/>
      <c r="Q5" s="673"/>
      <c r="R5" s="673"/>
    </row>
    <row r="6" spans="1:18" hidden="1" outlineLevel="1" x14ac:dyDescent="0.25">
      <c r="B6" s="691"/>
      <c r="C6" s="83" t="s">
        <v>116</v>
      </c>
      <c r="D6" s="84">
        <f>D4-0.216</f>
        <v>1.151</v>
      </c>
      <c r="E6" s="671" t="s">
        <v>121</v>
      </c>
      <c r="F6" s="671"/>
      <c r="G6" s="671"/>
      <c r="H6" s="671"/>
      <c r="I6" s="671"/>
      <c r="J6" s="671"/>
      <c r="K6" s="671"/>
      <c r="L6" s="671"/>
      <c r="M6" s="671"/>
      <c r="N6" s="671"/>
      <c r="O6" s="671"/>
      <c r="P6" s="671"/>
      <c r="Q6" s="671"/>
      <c r="R6" s="671"/>
    </row>
    <row r="7" spans="1:18" hidden="1" outlineLevel="1" x14ac:dyDescent="0.25">
      <c r="B7" s="692"/>
      <c r="C7" s="83" t="s">
        <v>118</v>
      </c>
      <c r="D7" s="84">
        <f>D4-0.176</f>
        <v>1.1910000000000001</v>
      </c>
      <c r="E7" s="671"/>
      <c r="F7" s="671"/>
      <c r="G7" s="671"/>
      <c r="H7" s="671"/>
      <c r="I7" s="671"/>
      <c r="J7" s="671"/>
      <c r="K7" s="671"/>
      <c r="L7" s="671"/>
      <c r="M7" s="671"/>
      <c r="N7" s="671"/>
      <c r="O7" s="671"/>
      <c r="P7" s="671"/>
      <c r="Q7" s="671"/>
      <c r="R7" s="671"/>
    </row>
    <row r="8" spans="1:18" hidden="1" outlineLevel="1" x14ac:dyDescent="0.25">
      <c r="B8" s="16" t="s">
        <v>37</v>
      </c>
      <c r="C8" s="693">
        <v>0.24</v>
      </c>
      <c r="D8" s="694"/>
      <c r="E8" s="673" t="s">
        <v>104</v>
      </c>
      <c r="F8" s="673"/>
      <c r="G8" s="673"/>
      <c r="H8" s="673"/>
      <c r="I8" s="673"/>
      <c r="J8" s="673"/>
      <c r="K8" s="673"/>
      <c r="L8" s="673"/>
      <c r="M8" s="673"/>
      <c r="N8" s="673"/>
      <c r="O8" s="673"/>
      <c r="P8" s="673"/>
      <c r="Q8" s="673"/>
      <c r="R8" s="673"/>
    </row>
    <row r="9" spans="1:18" hidden="1" outlineLevel="1" x14ac:dyDescent="0.25">
      <c r="B9" s="16" t="s">
        <v>38</v>
      </c>
      <c r="C9" s="695">
        <v>3.9300000000000002E-2</v>
      </c>
      <c r="D9" s="696"/>
      <c r="E9" s="673" t="s">
        <v>105</v>
      </c>
      <c r="F9" s="673"/>
      <c r="G9" s="673"/>
      <c r="H9" s="673"/>
      <c r="I9" s="673"/>
      <c r="J9" s="673"/>
      <c r="K9" s="673"/>
      <c r="L9" s="673"/>
      <c r="M9" s="673"/>
      <c r="N9" s="673"/>
      <c r="O9" s="673"/>
      <c r="P9" s="673"/>
      <c r="Q9" s="673"/>
      <c r="R9" s="673"/>
    </row>
    <row r="10" spans="1:18" hidden="1" outlineLevel="1" x14ac:dyDescent="0.25">
      <c r="B10" s="16" t="s">
        <v>39</v>
      </c>
      <c r="C10" s="697">
        <v>1.9400000000000001E-2</v>
      </c>
      <c r="D10" s="698"/>
      <c r="E10" s="673" t="s">
        <v>105</v>
      </c>
      <c r="F10" s="673"/>
      <c r="G10" s="673"/>
      <c r="H10" s="673"/>
      <c r="I10" s="673"/>
      <c r="J10" s="673"/>
      <c r="K10" s="673"/>
      <c r="L10" s="673"/>
      <c r="M10" s="673"/>
      <c r="N10" s="673"/>
      <c r="O10" s="673"/>
      <c r="P10" s="673"/>
      <c r="Q10" s="673"/>
      <c r="R10" s="673"/>
    </row>
    <row r="11" spans="1:18" hidden="1" outlineLevel="1" x14ac:dyDescent="0.25">
      <c r="B11" s="17"/>
      <c r="C11" s="66"/>
      <c r="D11" s="23"/>
      <c r="E11" s="23"/>
    </row>
    <row r="12" spans="1:18" hidden="1" outlineLevel="1" x14ac:dyDescent="0.25">
      <c r="A12" s="21" t="s">
        <v>50</v>
      </c>
      <c r="C12" s="17"/>
      <c r="D12" s="18"/>
    </row>
    <row r="13" spans="1:18" hidden="1" outlineLevel="1" x14ac:dyDescent="0.25">
      <c r="B13" s="72" t="s">
        <v>47</v>
      </c>
      <c r="C13" s="110" t="s">
        <v>156</v>
      </c>
      <c r="D13" s="111" t="s">
        <v>157</v>
      </c>
      <c r="E13" s="699" t="s">
        <v>48</v>
      </c>
      <c r="F13" s="699"/>
      <c r="G13" s="699"/>
      <c r="H13" s="699"/>
      <c r="I13" s="699"/>
      <c r="J13" s="699"/>
      <c r="K13" s="699"/>
      <c r="L13" s="699"/>
      <c r="M13" s="699"/>
      <c r="N13" s="699"/>
      <c r="O13" s="699"/>
      <c r="P13" s="699"/>
      <c r="Q13" s="699"/>
      <c r="R13" s="699"/>
    </row>
    <row r="14" spans="1:18" hidden="1" outlineLevel="1" x14ac:dyDescent="0.25">
      <c r="B14" s="73" t="s">
        <v>101</v>
      </c>
      <c r="C14" s="109">
        <v>17000</v>
      </c>
      <c r="D14" s="75">
        <v>48300</v>
      </c>
      <c r="E14" s="703" t="s">
        <v>98</v>
      </c>
      <c r="F14" s="704"/>
      <c r="G14" s="704"/>
      <c r="H14" s="704"/>
      <c r="I14" s="704"/>
      <c r="J14" s="704"/>
      <c r="K14" s="704"/>
      <c r="L14" s="704"/>
      <c r="M14" s="704"/>
      <c r="N14" s="704"/>
      <c r="O14" s="704"/>
      <c r="P14" s="704"/>
      <c r="Q14" s="704"/>
      <c r="R14" s="705"/>
    </row>
    <row r="15" spans="1:18" hidden="1" outlineLevel="1" x14ac:dyDescent="0.25">
      <c r="B15" s="73" t="s">
        <v>102</v>
      </c>
      <c r="C15" s="109">
        <v>27000</v>
      </c>
      <c r="D15" s="75">
        <v>95000</v>
      </c>
      <c r="E15" s="706"/>
      <c r="F15" s="701"/>
      <c r="G15" s="701"/>
      <c r="H15" s="701"/>
      <c r="I15" s="701"/>
      <c r="J15" s="701"/>
      <c r="K15" s="701"/>
      <c r="L15" s="701"/>
      <c r="M15" s="701"/>
      <c r="N15" s="701"/>
      <c r="O15" s="701"/>
      <c r="P15" s="701"/>
      <c r="Q15" s="701"/>
      <c r="R15" s="707"/>
    </row>
    <row r="16" spans="1:18" hidden="1" outlineLevel="1" x14ac:dyDescent="0.25">
      <c r="B16" s="73" t="s">
        <v>96</v>
      </c>
      <c r="C16" s="109">
        <v>250000</v>
      </c>
      <c r="D16" s="75">
        <v>650000</v>
      </c>
      <c r="E16" s="706"/>
      <c r="F16" s="701"/>
      <c r="G16" s="701"/>
      <c r="H16" s="701"/>
      <c r="I16" s="701"/>
      <c r="J16" s="701"/>
      <c r="K16" s="701"/>
      <c r="L16" s="701"/>
      <c r="M16" s="701"/>
      <c r="N16" s="701"/>
      <c r="O16" s="701"/>
      <c r="P16" s="701"/>
      <c r="Q16" s="701"/>
      <c r="R16" s="707"/>
    </row>
    <row r="17" spans="1:18" hidden="1" outlineLevel="1" x14ac:dyDescent="0.25">
      <c r="B17" s="73" t="s">
        <v>99</v>
      </c>
      <c r="C17" s="109">
        <v>350000</v>
      </c>
      <c r="D17" s="75">
        <v>1100000</v>
      </c>
      <c r="E17" s="706"/>
      <c r="F17" s="701"/>
      <c r="G17" s="701"/>
      <c r="H17" s="701"/>
      <c r="I17" s="701"/>
      <c r="J17" s="701"/>
      <c r="K17" s="701"/>
      <c r="L17" s="701"/>
      <c r="M17" s="701"/>
      <c r="N17" s="701"/>
      <c r="O17" s="701"/>
      <c r="P17" s="701"/>
      <c r="Q17" s="701"/>
      <c r="R17" s="707"/>
    </row>
    <row r="18" spans="1:18" hidden="1" outlineLevel="1" x14ac:dyDescent="0.25">
      <c r="B18" s="73" t="s">
        <v>90</v>
      </c>
      <c r="C18" s="109">
        <v>200000</v>
      </c>
      <c r="D18" s="75"/>
      <c r="E18" s="706"/>
      <c r="F18" s="701"/>
      <c r="G18" s="701"/>
      <c r="H18" s="701"/>
      <c r="I18" s="701"/>
      <c r="J18" s="701"/>
      <c r="K18" s="701"/>
      <c r="L18" s="701"/>
      <c r="M18" s="701"/>
      <c r="N18" s="701"/>
      <c r="O18" s="701"/>
      <c r="P18" s="701"/>
      <c r="Q18" s="701"/>
      <c r="R18" s="707"/>
    </row>
    <row r="19" spans="1:18" hidden="1" outlineLevel="1" x14ac:dyDescent="0.25">
      <c r="B19" s="73" t="s">
        <v>49</v>
      </c>
      <c r="C19" s="109">
        <v>220000</v>
      </c>
      <c r="D19" s="75">
        <v>600000</v>
      </c>
      <c r="E19" s="706"/>
      <c r="F19" s="701"/>
      <c r="G19" s="701"/>
      <c r="H19" s="701"/>
      <c r="I19" s="701"/>
      <c r="J19" s="701"/>
      <c r="K19" s="701"/>
      <c r="L19" s="701"/>
      <c r="M19" s="701"/>
      <c r="N19" s="701"/>
      <c r="O19" s="701"/>
      <c r="P19" s="701"/>
      <c r="Q19" s="701"/>
      <c r="R19" s="707"/>
    </row>
    <row r="20" spans="1:18" hidden="1" outlineLevel="1" x14ac:dyDescent="0.25">
      <c r="B20" s="73" t="s">
        <v>91</v>
      </c>
      <c r="C20" s="109">
        <v>40000</v>
      </c>
      <c r="D20" s="75"/>
      <c r="E20" s="706"/>
      <c r="F20" s="701"/>
      <c r="G20" s="701"/>
      <c r="H20" s="701"/>
      <c r="I20" s="701"/>
      <c r="J20" s="701"/>
      <c r="K20" s="701"/>
      <c r="L20" s="701"/>
      <c r="M20" s="701"/>
      <c r="N20" s="701"/>
      <c r="O20" s="701"/>
      <c r="P20" s="701"/>
      <c r="Q20" s="701"/>
      <c r="R20" s="707"/>
    </row>
    <row r="21" spans="1:18" hidden="1" outlineLevel="1" x14ac:dyDescent="0.25">
      <c r="B21" s="73" t="s">
        <v>92</v>
      </c>
      <c r="C21" s="109">
        <v>75000</v>
      </c>
      <c r="D21" s="75"/>
      <c r="E21" s="706"/>
      <c r="F21" s="701"/>
      <c r="G21" s="701"/>
      <c r="H21" s="701"/>
      <c r="I21" s="701"/>
      <c r="J21" s="701"/>
      <c r="K21" s="701"/>
      <c r="L21" s="701"/>
      <c r="M21" s="701"/>
      <c r="N21" s="701"/>
      <c r="O21" s="701"/>
      <c r="P21" s="701"/>
      <c r="Q21" s="701"/>
      <c r="R21" s="707"/>
    </row>
    <row r="22" spans="1:18" hidden="1" outlineLevel="1" x14ac:dyDescent="0.25">
      <c r="B22" s="73" t="s">
        <v>97</v>
      </c>
      <c r="C22" s="109">
        <v>85000</v>
      </c>
      <c r="D22" s="75"/>
      <c r="E22" s="708"/>
      <c r="F22" s="709"/>
      <c r="G22" s="709"/>
      <c r="H22" s="709"/>
      <c r="I22" s="709"/>
      <c r="J22" s="709"/>
      <c r="K22" s="709"/>
      <c r="L22" s="709"/>
      <c r="M22" s="709"/>
      <c r="N22" s="709"/>
      <c r="O22" s="709"/>
      <c r="P22" s="709"/>
      <c r="Q22" s="709"/>
      <c r="R22" s="710"/>
    </row>
    <row r="23" spans="1:18" hidden="1" outlineLevel="1" x14ac:dyDescent="0.25">
      <c r="B23" s="74" t="s">
        <v>45</v>
      </c>
      <c r="C23" s="684"/>
      <c r="D23" s="685"/>
      <c r="E23" s="700"/>
      <c r="F23" s="701"/>
      <c r="G23" s="701"/>
      <c r="H23" s="701"/>
      <c r="I23" s="701"/>
      <c r="J23" s="701"/>
      <c r="K23" s="701"/>
      <c r="L23" s="701"/>
      <c r="M23" s="701"/>
      <c r="N23" s="701"/>
      <c r="O23" s="701"/>
      <c r="P23" s="701"/>
      <c r="Q23" s="701"/>
      <c r="R23" s="701"/>
    </row>
    <row r="24" spans="1:18" hidden="1" outlineLevel="1" x14ac:dyDescent="0.25">
      <c r="B24" t="str">
        <f>""</f>
        <v/>
      </c>
      <c r="C24" s="17"/>
      <c r="D24" s="18"/>
    </row>
    <row r="25" spans="1:18" hidden="1" outlineLevel="1" x14ac:dyDescent="0.25">
      <c r="A25" s="21" t="s">
        <v>51</v>
      </c>
      <c r="C25" s="17"/>
      <c r="D25" s="18"/>
    </row>
    <row r="26" spans="1:18" hidden="1" outlineLevel="1" x14ac:dyDescent="0.25">
      <c r="B26" s="19" t="s">
        <v>47</v>
      </c>
      <c r="C26" s="679" t="s">
        <v>40</v>
      </c>
      <c r="D26" s="680"/>
      <c r="E26" s="672" t="s">
        <v>48</v>
      </c>
      <c r="F26" s="672"/>
      <c r="G26" s="672"/>
      <c r="H26" s="672"/>
      <c r="I26" s="672"/>
      <c r="J26" s="672"/>
      <c r="K26" s="672"/>
      <c r="L26" s="672"/>
      <c r="M26" s="672"/>
      <c r="N26" s="672"/>
      <c r="O26" s="672"/>
      <c r="P26" s="672"/>
      <c r="Q26" s="672"/>
      <c r="R26" s="672"/>
    </row>
    <row r="27" spans="1:18" hidden="1" outlineLevel="1" x14ac:dyDescent="0.25">
      <c r="B27" s="8" t="str">
        <f>B$14</f>
        <v>VUL de PTAC &lt;2,5t  (fourgonnette)</v>
      </c>
      <c r="C27" s="677">
        <v>0.05</v>
      </c>
      <c r="D27" s="678"/>
      <c r="E27" s="668" t="s">
        <v>42</v>
      </c>
      <c r="F27" s="668"/>
      <c r="G27" s="668"/>
      <c r="H27" s="668"/>
      <c r="I27" s="668"/>
      <c r="J27" s="668"/>
      <c r="K27" s="668"/>
      <c r="L27" s="668"/>
      <c r="M27" s="668"/>
      <c r="N27" s="668"/>
      <c r="O27" s="668"/>
      <c r="P27" s="668"/>
      <c r="Q27" s="668"/>
      <c r="R27" s="668"/>
    </row>
    <row r="28" spans="1:18" hidden="1" outlineLevel="1" x14ac:dyDescent="0.25">
      <c r="B28" s="8" t="str">
        <f>B$15</f>
        <v>VUL de PTAC &gt;2,5t (fourgon)</v>
      </c>
      <c r="C28" s="677">
        <v>0.05</v>
      </c>
      <c r="D28" s="678"/>
      <c r="E28" s="668"/>
      <c r="F28" s="668"/>
      <c r="G28" s="668"/>
      <c r="H28" s="668"/>
      <c r="I28" s="668"/>
      <c r="J28" s="668"/>
      <c r="K28" s="668"/>
      <c r="L28" s="668"/>
      <c r="M28" s="668"/>
      <c r="N28" s="668"/>
      <c r="O28" s="668"/>
      <c r="P28" s="668"/>
      <c r="Q28" s="668"/>
      <c r="R28" s="668"/>
    </row>
    <row r="29" spans="1:18" hidden="1" outlineLevel="1" x14ac:dyDescent="0.25">
      <c r="B29" s="8" t="str">
        <f>B$16</f>
        <v>Bus standard (12 m)</v>
      </c>
      <c r="C29" s="677">
        <v>0.21</v>
      </c>
      <c r="D29" s="678"/>
      <c r="E29" s="671" t="s">
        <v>41</v>
      </c>
      <c r="F29" s="671"/>
      <c r="G29" s="671"/>
      <c r="H29" s="671"/>
      <c r="I29" s="671"/>
      <c r="J29" s="671"/>
      <c r="K29" s="671"/>
      <c r="L29" s="671"/>
      <c r="M29" s="671"/>
      <c r="N29" s="671"/>
      <c r="O29" s="671"/>
      <c r="P29" s="671"/>
      <c r="Q29" s="671"/>
      <c r="R29" s="671"/>
    </row>
    <row r="30" spans="1:18" hidden="1" outlineLevel="1" x14ac:dyDescent="0.25">
      <c r="B30" s="8" t="str">
        <f>B$17</f>
        <v>Bus articulé (18 m)</v>
      </c>
      <c r="C30" s="677">
        <v>0.21</v>
      </c>
      <c r="D30" s="678"/>
      <c r="E30" s="671"/>
      <c r="F30" s="671"/>
      <c r="G30" s="671"/>
      <c r="H30" s="671"/>
      <c r="I30" s="671"/>
      <c r="J30" s="671"/>
      <c r="K30" s="671"/>
      <c r="L30" s="671"/>
      <c r="M30" s="671"/>
      <c r="N30" s="671"/>
      <c r="O30" s="671"/>
      <c r="P30" s="671"/>
      <c r="Q30" s="671"/>
      <c r="R30" s="671"/>
    </row>
    <row r="31" spans="1:18" hidden="1" outlineLevel="1" x14ac:dyDescent="0.25">
      <c r="B31" s="8" t="str">
        <f>B$18</f>
        <v>Autocar</v>
      </c>
      <c r="C31" s="677">
        <v>0.21</v>
      </c>
      <c r="D31" s="678"/>
      <c r="E31" s="671"/>
      <c r="F31" s="671"/>
      <c r="G31" s="671"/>
      <c r="H31" s="671"/>
      <c r="I31" s="671"/>
      <c r="J31" s="671"/>
      <c r="K31" s="671"/>
      <c r="L31" s="671"/>
      <c r="M31" s="671"/>
      <c r="N31" s="671"/>
      <c r="O31" s="671"/>
      <c r="P31" s="671"/>
      <c r="Q31" s="671"/>
      <c r="R31" s="671"/>
    </row>
    <row r="32" spans="1:18" hidden="1" outlineLevel="1" x14ac:dyDescent="0.25">
      <c r="B32" s="8" t="str">
        <f>B$19</f>
        <v>BOM</v>
      </c>
      <c r="C32" s="677">
        <v>0.1</v>
      </c>
      <c r="D32" s="678"/>
      <c r="E32" s="668" t="s">
        <v>42</v>
      </c>
      <c r="F32" s="668"/>
      <c r="G32" s="668"/>
      <c r="H32" s="668"/>
      <c r="I32" s="668"/>
      <c r="J32" s="668"/>
      <c r="K32" s="668"/>
      <c r="L32" s="668"/>
      <c r="M32" s="668"/>
      <c r="N32" s="668"/>
      <c r="O32" s="668"/>
      <c r="P32" s="668"/>
      <c r="Q32" s="668"/>
      <c r="R32" s="668"/>
    </row>
    <row r="33" spans="1:18" hidden="1" outlineLevel="1" x14ac:dyDescent="0.25">
      <c r="B33" s="8" t="str">
        <f>B$20</f>
        <v xml:space="preserve">Camion 5,5 t ou 7,5 t </v>
      </c>
      <c r="C33" s="677">
        <v>0.1</v>
      </c>
      <c r="D33" s="678"/>
      <c r="E33" s="668"/>
      <c r="F33" s="668"/>
      <c r="G33" s="668"/>
      <c r="H33" s="668"/>
      <c r="I33" s="668"/>
      <c r="J33" s="668"/>
      <c r="K33" s="668"/>
      <c r="L33" s="668"/>
      <c r="M33" s="668"/>
      <c r="N33" s="668"/>
      <c r="O33" s="668"/>
      <c r="P33" s="668"/>
      <c r="Q33" s="668"/>
      <c r="R33" s="668"/>
    </row>
    <row r="34" spans="1:18" hidden="1" outlineLevel="1" x14ac:dyDescent="0.25">
      <c r="B34" s="8" t="str">
        <f>B$21</f>
        <v>Camion 19 t</v>
      </c>
      <c r="C34" s="677">
        <v>0.1</v>
      </c>
      <c r="D34" s="678"/>
      <c r="E34" s="668"/>
      <c r="F34" s="668"/>
      <c r="G34" s="668"/>
      <c r="H34" s="668"/>
      <c r="I34" s="668"/>
      <c r="J34" s="668"/>
      <c r="K34" s="668"/>
      <c r="L34" s="668"/>
      <c r="M34" s="668"/>
      <c r="N34" s="668"/>
      <c r="O34" s="668"/>
      <c r="P34" s="668"/>
      <c r="Q34" s="668"/>
      <c r="R34" s="668"/>
    </row>
    <row r="35" spans="1:18" hidden="1" outlineLevel="1" x14ac:dyDescent="0.25">
      <c r="B35" s="8" t="str">
        <f>B$22</f>
        <v>Camion 44 t</v>
      </c>
      <c r="C35" s="677">
        <v>0.1</v>
      </c>
      <c r="D35" s="678"/>
      <c r="E35" s="668"/>
      <c r="F35" s="668"/>
      <c r="G35" s="668"/>
      <c r="H35" s="668"/>
      <c r="I35" s="668"/>
      <c r="J35" s="668"/>
      <c r="K35" s="668"/>
      <c r="L35" s="668"/>
      <c r="M35" s="668"/>
      <c r="N35" s="668"/>
      <c r="O35" s="668"/>
      <c r="P35" s="668"/>
      <c r="Q35" s="668"/>
      <c r="R35" s="668"/>
    </row>
    <row r="36" spans="1:18" hidden="1" outlineLevel="1" x14ac:dyDescent="0.25">
      <c r="B36" s="8" t="str">
        <f>B$23</f>
        <v>Autre</v>
      </c>
      <c r="C36" s="677"/>
      <c r="D36" s="678"/>
      <c r="E36" s="702"/>
      <c r="F36" s="702"/>
      <c r="G36" s="702"/>
      <c r="H36" s="702"/>
      <c r="I36" s="702"/>
      <c r="J36" s="702"/>
      <c r="K36" s="702"/>
      <c r="L36" s="702"/>
      <c r="M36" s="702"/>
      <c r="N36" s="702"/>
      <c r="O36" s="702"/>
      <c r="P36" s="702"/>
      <c r="Q36" s="702"/>
      <c r="R36" s="702"/>
    </row>
    <row r="37" spans="1:18" hidden="1" outlineLevel="1" x14ac:dyDescent="0.25">
      <c r="B37" s="22"/>
      <c r="C37" s="64"/>
      <c r="D37" s="64"/>
      <c r="E37" s="65"/>
    </row>
    <row r="38" spans="1:18" hidden="1" outlineLevel="1" x14ac:dyDescent="0.25">
      <c r="A38" s="21" t="s">
        <v>52</v>
      </c>
      <c r="C38" s="17"/>
      <c r="D38" s="18"/>
    </row>
    <row r="39" spans="1:18" hidden="1" outlineLevel="1" x14ac:dyDescent="0.25">
      <c r="B39" s="19" t="s">
        <v>47</v>
      </c>
      <c r="C39" s="679" t="s">
        <v>40</v>
      </c>
      <c r="D39" s="680"/>
      <c r="E39" s="672" t="s">
        <v>48</v>
      </c>
      <c r="F39" s="672"/>
      <c r="G39" s="672"/>
      <c r="H39" s="672"/>
      <c r="I39" s="672"/>
      <c r="J39" s="672"/>
      <c r="K39" s="672"/>
      <c r="L39" s="672"/>
      <c r="M39" s="672"/>
      <c r="N39" s="672"/>
      <c r="O39" s="672"/>
      <c r="P39" s="672"/>
      <c r="Q39" s="672"/>
      <c r="R39" s="672"/>
    </row>
    <row r="40" spans="1:18" ht="15" hidden="1" customHeight="1" outlineLevel="1" x14ac:dyDescent="0.25">
      <c r="B40" s="8" t="str">
        <f>B$14</f>
        <v>VUL de PTAC &lt;2,5t  (fourgonnette)</v>
      </c>
      <c r="C40" s="681">
        <v>500</v>
      </c>
      <c r="D40" s="682"/>
      <c r="E40" s="668" t="s">
        <v>100</v>
      </c>
      <c r="F40" s="668"/>
      <c r="G40" s="668"/>
      <c r="H40" s="668"/>
      <c r="I40" s="668"/>
      <c r="J40" s="668"/>
      <c r="K40" s="668"/>
      <c r="L40" s="668"/>
      <c r="M40" s="668"/>
      <c r="N40" s="668"/>
      <c r="O40" s="668"/>
      <c r="P40" s="668"/>
      <c r="Q40" s="668"/>
      <c r="R40" s="668"/>
    </row>
    <row r="41" spans="1:18" hidden="1" outlineLevel="1" x14ac:dyDescent="0.25">
      <c r="B41" s="8" t="str">
        <f>B$15</f>
        <v>VUL de PTAC &gt;2,5t (fourgon)</v>
      </c>
      <c r="C41" s="681">
        <v>500</v>
      </c>
      <c r="D41" s="682"/>
      <c r="E41" s="668"/>
      <c r="F41" s="668"/>
      <c r="G41" s="668"/>
      <c r="H41" s="668"/>
      <c r="I41" s="668"/>
      <c r="J41" s="668"/>
      <c r="K41" s="668"/>
      <c r="L41" s="668"/>
      <c r="M41" s="668"/>
      <c r="N41" s="668"/>
      <c r="O41" s="668"/>
      <c r="P41" s="668"/>
      <c r="Q41" s="668"/>
      <c r="R41" s="668"/>
    </row>
    <row r="42" spans="1:18" hidden="1" outlineLevel="1" x14ac:dyDescent="0.25">
      <c r="B42" s="8" t="str">
        <f>B$16</f>
        <v>Bus standard (12 m)</v>
      </c>
      <c r="C42" s="681">
        <v>1400</v>
      </c>
      <c r="D42" s="682"/>
      <c r="E42" s="671" t="s">
        <v>41</v>
      </c>
      <c r="F42" s="671"/>
      <c r="G42" s="671"/>
      <c r="H42" s="671"/>
      <c r="I42" s="671"/>
      <c r="J42" s="671"/>
      <c r="K42" s="671"/>
      <c r="L42" s="671"/>
      <c r="M42" s="671"/>
      <c r="N42" s="671"/>
      <c r="O42" s="671"/>
      <c r="P42" s="671"/>
      <c r="Q42" s="671"/>
      <c r="R42" s="671"/>
    </row>
    <row r="43" spans="1:18" hidden="1" outlineLevel="1" x14ac:dyDescent="0.25">
      <c r="B43" s="8" t="str">
        <f>B$17</f>
        <v>Bus articulé (18 m)</v>
      </c>
      <c r="C43" s="681">
        <v>1400</v>
      </c>
      <c r="D43" s="682"/>
      <c r="E43" s="671"/>
      <c r="F43" s="671"/>
      <c r="G43" s="671"/>
      <c r="H43" s="671"/>
      <c r="I43" s="671"/>
      <c r="J43" s="671"/>
      <c r="K43" s="671"/>
      <c r="L43" s="671"/>
      <c r="M43" s="671"/>
      <c r="N43" s="671"/>
      <c r="O43" s="671"/>
      <c r="P43" s="671"/>
      <c r="Q43" s="671"/>
      <c r="R43" s="671"/>
    </row>
    <row r="44" spans="1:18" hidden="1" outlineLevel="1" x14ac:dyDescent="0.25">
      <c r="B44" s="8" t="str">
        <f>B$18</f>
        <v>Autocar</v>
      </c>
      <c r="C44" s="684"/>
      <c r="D44" s="685"/>
      <c r="E44" s="669"/>
      <c r="F44" s="669"/>
      <c r="G44" s="669"/>
      <c r="H44" s="669"/>
      <c r="I44" s="669"/>
      <c r="J44" s="669"/>
      <c r="K44" s="669"/>
      <c r="L44" s="669"/>
      <c r="M44" s="669"/>
      <c r="N44" s="669"/>
      <c r="O44" s="669"/>
      <c r="P44" s="669"/>
      <c r="Q44" s="669"/>
      <c r="R44" s="669"/>
    </row>
    <row r="45" spans="1:18" hidden="1" outlineLevel="1" x14ac:dyDescent="0.25">
      <c r="B45" s="8" t="str">
        <f>B$19</f>
        <v>BOM</v>
      </c>
      <c r="C45" s="684"/>
      <c r="D45" s="685"/>
      <c r="E45" s="669"/>
      <c r="F45" s="669"/>
      <c r="G45" s="669"/>
      <c r="H45" s="669"/>
      <c r="I45" s="669"/>
      <c r="J45" s="669"/>
      <c r="K45" s="669"/>
      <c r="L45" s="669"/>
      <c r="M45" s="669"/>
      <c r="N45" s="669"/>
      <c r="O45" s="669"/>
      <c r="P45" s="669"/>
      <c r="Q45" s="669"/>
      <c r="R45" s="669"/>
    </row>
    <row r="46" spans="1:18" hidden="1" outlineLevel="1" x14ac:dyDescent="0.25">
      <c r="B46" s="8" t="str">
        <f>B$20</f>
        <v xml:space="preserve">Camion 5,5 t ou 7,5 t </v>
      </c>
      <c r="C46" s="684"/>
      <c r="D46" s="685"/>
      <c r="E46" s="669"/>
      <c r="F46" s="669"/>
      <c r="G46" s="669"/>
      <c r="H46" s="669"/>
      <c r="I46" s="669"/>
      <c r="J46" s="669"/>
      <c r="K46" s="669"/>
      <c r="L46" s="669"/>
      <c r="M46" s="669"/>
      <c r="N46" s="669"/>
      <c r="O46" s="669"/>
      <c r="P46" s="669"/>
      <c r="Q46" s="669"/>
      <c r="R46" s="669"/>
    </row>
    <row r="47" spans="1:18" hidden="1" outlineLevel="1" x14ac:dyDescent="0.25">
      <c r="B47" s="8" t="str">
        <f>B$21</f>
        <v>Camion 19 t</v>
      </c>
      <c r="C47" s="684"/>
      <c r="D47" s="685"/>
      <c r="E47" s="669"/>
      <c r="F47" s="669"/>
      <c r="G47" s="669"/>
      <c r="H47" s="669"/>
      <c r="I47" s="669"/>
      <c r="J47" s="669"/>
      <c r="K47" s="669"/>
      <c r="L47" s="669"/>
      <c r="M47" s="669"/>
      <c r="N47" s="669"/>
      <c r="O47" s="669"/>
      <c r="P47" s="669"/>
      <c r="Q47" s="669"/>
      <c r="R47" s="669"/>
    </row>
    <row r="48" spans="1:18" hidden="1" outlineLevel="1" x14ac:dyDescent="0.25">
      <c r="B48" s="8" t="str">
        <f>B$22</f>
        <v>Camion 44 t</v>
      </c>
      <c r="C48" s="684"/>
      <c r="D48" s="685"/>
      <c r="E48" s="669"/>
      <c r="F48" s="669"/>
      <c r="G48" s="669"/>
      <c r="H48" s="669"/>
      <c r="I48" s="669"/>
      <c r="J48" s="669"/>
      <c r="K48" s="669"/>
      <c r="L48" s="669"/>
      <c r="M48" s="669"/>
      <c r="N48" s="669"/>
      <c r="O48" s="669"/>
      <c r="P48" s="669"/>
      <c r="Q48" s="669"/>
      <c r="R48" s="669"/>
    </row>
    <row r="49" spans="1:18" hidden="1" outlineLevel="1" x14ac:dyDescent="0.25">
      <c r="B49" s="8" t="str">
        <f>B$23</f>
        <v>Autre</v>
      </c>
      <c r="C49" s="681"/>
      <c r="D49" s="682"/>
      <c r="E49" s="670"/>
      <c r="F49" s="670"/>
      <c r="G49" s="670"/>
      <c r="H49" s="670"/>
      <c r="I49" s="670"/>
      <c r="J49" s="670"/>
      <c r="K49" s="670"/>
      <c r="L49" s="670"/>
      <c r="M49" s="670"/>
      <c r="N49" s="670"/>
      <c r="O49" s="670"/>
      <c r="P49" s="670"/>
      <c r="Q49" s="670"/>
      <c r="R49" s="670"/>
    </row>
    <row r="50" spans="1:18" hidden="1" outlineLevel="1" x14ac:dyDescent="0.25">
      <c r="B50" s="22"/>
      <c r="C50" s="23"/>
      <c r="D50" s="23"/>
      <c r="E50" s="24"/>
    </row>
    <row r="51" spans="1:18" hidden="1" outlineLevel="1" x14ac:dyDescent="0.25">
      <c r="A51" s="21" t="s">
        <v>46</v>
      </c>
    </row>
    <row r="52" spans="1:18" ht="45" hidden="1" outlineLevel="1" x14ac:dyDescent="0.25">
      <c r="B52" s="34" t="s">
        <v>47</v>
      </c>
      <c r="C52" s="106" t="s">
        <v>150</v>
      </c>
      <c r="D52" s="106" t="s">
        <v>149</v>
      </c>
      <c r="E52" s="106" t="s">
        <v>151</v>
      </c>
      <c r="F52" s="662" t="s">
        <v>48</v>
      </c>
      <c r="G52" s="663"/>
      <c r="H52" s="663"/>
      <c r="I52" s="663"/>
      <c r="J52" s="663"/>
      <c r="K52" s="663"/>
      <c r="L52" s="663"/>
      <c r="M52" s="663"/>
      <c r="N52" s="663"/>
      <c r="O52" s="663"/>
      <c r="P52" s="663"/>
      <c r="Q52" s="663"/>
      <c r="R52" s="664"/>
    </row>
    <row r="53" spans="1:18" ht="30" hidden="1" customHeight="1" outlineLevel="1" x14ac:dyDescent="0.25">
      <c r="B53" s="8" t="str">
        <f>B$14</f>
        <v>VUL de PTAC &lt;2,5t  (fourgonnette)</v>
      </c>
      <c r="C53" s="107">
        <f>29.1*128/240</f>
        <v>15.520000000000001</v>
      </c>
      <c r="D53" s="108">
        <v>6.1</v>
      </c>
      <c r="E53" s="54">
        <v>0.74</v>
      </c>
      <c r="F53" s="665" t="s">
        <v>154</v>
      </c>
      <c r="G53" s="666"/>
      <c r="H53" s="666"/>
      <c r="I53" s="666"/>
      <c r="J53" s="666"/>
      <c r="K53" s="666"/>
      <c r="L53" s="666"/>
      <c r="M53" s="666"/>
      <c r="N53" s="666"/>
      <c r="O53" s="666"/>
      <c r="P53" s="666"/>
      <c r="Q53" s="666"/>
      <c r="R53" s="667"/>
    </row>
    <row r="54" spans="1:18" ht="30" hidden="1" customHeight="1" outlineLevel="1" x14ac:dyDescent="0.25">
      <c r="B54" s="8" t="str">
        <f>B$15</f>
        <v>VUL de PTAC &gt;2,5t (fourgon)</v>
      </c>
      <c r="C54" s="107">
        <f>32.3*120/350</f>
        <v>11.074285714285713</v>
      </c>
      <c r="D54" s="108">
        <v>12.1</v>
      </c>
      <c r="E54" s="105">
        <v>1.2</v>
      </c>
      <c r="F54" s="665" t="s">
        <v>153</v>
      </c>
      <c r="G54" s="666"/>
      <c r="H54" s="666"/>
      <c r="I54" s="666"/>
      <c r="J54" s="666"/>
      <c r="K54" s="666"/>
      <c r="L54" s="666"/>
      <c r="M54" s="666"/>
      <c r="N54" s="666"/>
      <c r="O54" s="666"/>
      <c r="P54" s="666"/>
      <c r="Q54" s="666"/>
      <c r="R54" s="667"/>
    </row>
    <row r="55" spans="1:18" hidden="1" outlineLevel="1" x14ac:dyDescent="0.25">
      <c r="B55" s="8" t="str">
        <f>B$16</f>
        <v>Bus standard (12 m)</v>
      </c>
      <c r="C55" s="77"/>
      <c r="D55" s="20">
        <v>40</v>
      </c>
      <c r="E55" s="78">
        <v>9</v>
      </c>
      <c r="F55" s="586" t="s">
        <v>152</v>
      </c>
      <c r="G55" s="587"/>
      <c r="H55" s="587"/>
      <c r="I55" s="587"/>
      <c r="J55" s="587"/>
      <c r="K55" s="587"/>
      <c r="L55" s="587"/>
      <c r="M55" s="587"/>
      <c r="N55" s="587"/>
      <c r="O55" s="587"/>
      <c r="P55" s="587"/>
      <c r="Q55" s="587"/>
      <c r="R55" s="661"/>
    </row>
    <row r="56" spans="1:18" hidden="1" outlineLevel="1" x14ac:dyDescent="0.25">
      <c r="B56" s="8" t="str">
        <f>B$17</f>
        <v>Bus articulé (18 m)</v>
      </c>
      <c r="C56" s="77"/>
      <c r="D56" s="20">
        <v>50</v>
      </c>
      <c r="E56" s="104"/>
      <c r="F56" s="586" t="s">
        <v>122</v>
      </c>
      <c r="G56" s="587"/>
      <c r="H56" s="587"/>
      <c r="I56" s="587"/>
      <c r="J56" s="587"/>
      <c r="K56" s="587"/>
      <c r="L56" s="587"/>
      <c r="M56" s="587"/>
      <c r="N56" s="587"/>
      <c r="O56" s="587"/>
      <c r="P56" s="587"/>
      <c r="Q56" s="587"/>
      <c r="R56" s="661"/>
    </row>
    <row r="57" spans="1:18" hidden="1" outlineLevel="1" x14ac:dyDescent="0.25">
      <c r="B57" s="8" t="str">
        <f>B$18</f>
        <v>Autocar</v>
      </c>
      <c r="C57" s="76"/>
      <c r="D57" s="20">
        <v>30</v>
      </c>
      <c r="E57" s="104"/>
      <c r="F57" s="586" t="s">
        <v>226</v>
      </c>
      <c r="G57" s="587"/>
      <c r="H57" s="587"/>
      <c r="I57" s="587"/>
      <c r="J57" s="587"/>
      <c r="K57" s="587"/>
      <c r="L57" s="587"/>
      <c r="M57" s="587"/>
      <c r="N57" s="587"/>
      <c r="O57" s="587"/>
      <c r="P57" s="587"/>
      <c r="Q57" s="587"/>
      <c r="R57" s="661"/>
    </row>
    <row r="58" spans="1:18" hidden="1" outlineLevel="1" x14ac:dyDescent="0.25">
      <c r="B58" s="8" t="str">
        <f>B$19</f>
        <v>BOM</v>
      </c>
      <c r="C58" s="76"/>
      <c r="D58" s="20">
        <v>70</v>
      </c>
      <c r="E58" s="104"/>
      <c r="F58" s="586" t="s">
        <v>227</v>
      </c>
      <c r="G58" s="587"/>
      <c r="H58" s="587"/>
      <c r="I58" s="587"/>
      <c r="J58" s="587"/>
      <c r="K58" s="587"/>
      <c r="L58" s="587"/>
      <c r="M58" s="587"/>
      <c r="N58" s="587"/>
      <c r="O58" s="587"/>
      <c r="P58" s="587"/>
      <c r="Q58" s="587"/>
      <c r="R58" s="661"/>
    </row>
    <row r="59" spans="1:18" hidden="1" outlineLevel="1" x14ac:dyDescent="0.25">
      <c r="B59" s="8" t="str">
        <f>B$20</f>
        <v xml:space="preserve">Camion 5,5 t ou 7,5 t </v>
      </c>
      <c r="C59" s="76"/>
      <c r="D59" s="75"/>
      <c r="E59" s="104"/>
      <c r="F59" s="655"/>
      <c r="G59" s="656"/>
      <c r="H59" s="656"/>
      <c r="I59" s="656"/>
      <c r="J59" s="656"/>
      <c r="K59" s="656"/>
      <c r="L59" s="656"/>
      <c r="M59" s="656"/>
      <c r="N59" s="656"/>
      <c r="O59" s="656"/>
      <c r="P59" s="656"/>
      <c r="Q59" s="656"/>
      <c r="R59" s="657"/>
    </row>
    <row r="60" spans="1:18" hidden="1" outlineLevel="1" x14ac:dyDescent="0.25">
      <c r="B60" s="8" t="str">
        <f>B$21</f>
        <v>Camion 19 t</v>
      </c>
      <c r="C60" s="76"/>
      <c r="D60" s="75"/>
      <c r="E60" s="104"/>
      <c r="F60" s="655"/>
      <c r="G60" s="656"/>
      <c r="H60" s="656"/>
      <c r="I60" s="656"/>
      <c r="J60" s="656"/>
      <c r="K60" s="656"/>
      <c r="L60" s="656"/>
      <c r="M60" s="656"/>
      <c r="N60" s="656"/>
      <c r="O60" s="656"/>
      <c r="P60" s="656"/>
      <c r="Q60" s="656"/>
      <c r="R60" s="657"/>
    </row>
    <row r="61" spans="1:18" hidden="1" outlineLevel="1" x14ac:dyDescent="0.25">
      <c r="B61" s="8" t="str">
        <f>B$22</f>
        <v>Camion 44 t</v>
      </c>
      <c r="C61" s="76"/>
      <c r="D61" s="75"/>
      <c r="E61" s="104"/>
      <c r="F61" s="655"/>
      <c r="G61" s="656"/>
      <c r="H61" s="656"/>
      <c r="I61" s="656"/>
      <c r="J61" s="656"/>
      <c r="K61" s="656"/>
      <c r="L61" s="656"/>
      <c r="M61" s="656"/>
      <c r="N61" s="656"/>
      <c r="O61" s="656"/>
      <c r="P61" s="656"/>
      <c r="Q61" s="656"/>
      <c r="R61" s="657"/>
    </row>
    <row r="62" spans="1:18" hidden="1" outlineLevel="1" x14ac:dyDescent="0.25">
      <c r="B62" s="8" t="str">
        <f>B$23</f>
        <v>Autre</v>
      </c>
      <c r="C62" s="8"/>
      <c r="D62" s="61"/>
      <c r="E62" s="25"/>
      <c r="F62" s="658"/>
      <c r="G62" s="659"/>
      <c r="H62" s="659"/>
      <c r="I62" s="659"/>
      <c r="J62" s="659"/>
      <c r="K62" s="659"/>
      <c r="L62" s="659"/>
      <c r="M62" s="659"/>
      <c r="N62" s="659"/>
      <c r="O62" s="659"/>
      <c r="P62" s="659"/>
      <c r="Q62" s="659"/>
      <c r="R62" s="660"/>
    </row>
    <row r="63" spans="1:18" hidden="1" outlineLevel="1" x14ac:dyDescent="0.25"/>
    <row r="64" spans="1:18" hidden="1" outlineLevel="1" x14ac:dyDescent="0.25">
      <c r="B64" s="688" t="s">
        <v>69</v>
      </c>
      <c r="C64" s="689"/>
      <c r="D64" s="26" t="s">
        <v>40</v>
      </c>
    </row>
    <row r="65" spans="1:6" ht="15" hidden="1" customHeight="1" outlineLevel="1" x14ac:dyDescent="0.25">
      <c r="B65" s="683" t="s">
        <v>224</v>
      </c>
      <c r="C65" s="112" t="s">
        <v>158</v>
      </c>
      <c r="D65" s="113">
        <v>1.93</v>
      </c>
    </row>
    <row r="66" spans="1:6" hidden="1" outlineLevel="1" x14ac:dyDescent="0.25">
      <c r="B66" s="683"/>
      <c r="C66" s="112" t="s">
        <v>127</v>
      </c>
      <c r="D66" s="113">
        <v>3.32</v>
      </c>
    </row>
    <row r="67" spans="1:6" hidden="1" outlineLevel="1" x14ac:dyDescent="0.25">
      <c r="B67" s="200" t="s">
        <v>225</v>
      </c>
      <c r="C67" s="85" t="s">
        <v>223</v>
      </c>
      <c r="D67" s="29">
        <v>0.6</v>
      </c>
    </row>
    <row r="68" spans="1:6" hidden="1" outlineLevel="1" x14ac:dyDescent="0.25">
      <c r="B68" s="683" t="s">
        <v>224</v>
      </c>
      <c r="C68" s="33" t="s">
        <v>128</v>
      </c>
      <c r="D68" s="113">
        <v>2.63</v>
      </c>
    </row>
    <row r="69" spans="1:6" hidden="1" outlineLevel="1" x14ac:dyDescent="0.25">
      <c r="B69" s="683"/>
      <c r="C69" s="33" t="s">
        <v>159</v>
      </c>
      <c r="D69" s="113">
        <v>12.19</v>
      </c>
    </row>
    <row r="70" spans="1:6" hidden="1" outlineLevel="1" x14ac:dyDescent="0.25">
      <c r="B70" s="32" t="s">
        <v>172</v>
      </c>
      <c r="C70" s="33" t="s">
        <v>168</v>
      </c>
      <c r="D70" s="152">
        <v>1.1200000000000001</v>
      </c>
      <c r="E70">
        <v>200</v>
      </c>
      <c r="F70">
        <v>1.1200000000000001</v>
      </c>
    </row>
    <row r="71" spans="1:6" hidden="1" outlineLevel="1" x14ac:dyDescent="0.25">
      <c r="B71" s="32" t="s">
        <v>172</v>
      </c>
      <c r="C71" s="112" t="s">
        <v>169</v>
      </c>
      <c r="D71" s="152">
        <f>1.6333-0.0026*300</f>
        <v>0.85330000000000006</v>
      </c>
      <c r="E71">
        <v>500</v>
      </c>
      <c r="F71">
        <v>0.35</v>
      </c>
    </row>
    <row r="72" spans="1:6" hidden="1" outlineLevel="1" x14ac:dyDescent="0.25">
      <c r="B72" s="32" t="s">
        <v>172</v>
      </c>
      <c r="C72" s="112" t="s">
        <v>170</v>
      </c>
      <c r="D72" s="152">
        <f>1.6333-0.0026*400</f>
        <v>0.59329999999999994</v>
      </c>
    </row>
    <row r="73" spans="1:6" hidden="1" outlineLevel="1" x14ac:dyDescent="0.25">
      <c r="B73" s="32" t="s">
        <v>172</v>
      </c>
      <c r="C73" s="112" t="s">
        <v>171</v>
      </c>
      <c r="D73" s="153">
        <v>0.35</v>
      </c>
    </row>
    <row r="74" spans="1:6" hidden="1" outlineLevel="1" x14ac:dyDescent="0.25">
      <c r="B74" s="32" t="s">
        <v>70</v>
      </c>
      <c r="C74" s="33"/>
      <c r="D74" s="30">
        <v>3.16</v>
      </c>
    </row>
    <row r="75" spans="1:6" hidden="1" outlineLevel="1" x14ac:dyDescent="0.25">
      <c r="B75" s="25" t="s">
        <v>93</v>
      </c>
      <c r="C75" s="25"/>
      <c r="D75" s="31">
        <v>3.8600000000000002E-2</v>
      </c>
      <c r="E75" s="63"/>
    </row>
    <row r="76" spans="1:6" hidden="1" outlineLevel="1" x14ac:dyDescent="0.25">
      <c r="B76" s="69" t="s">
        <v>94</v>
      </c>
      <c r="C76" s="33"/>
      <c r="D76" s="62">
        <v>3000</v>
      </c>
    </row>
    <row r="77" spans="1:6" hidden="1" outlineLevel="1" x14ac:dyDescent="0.25">
      <c r="B77" s="79" t="s">
        <v>113</v>
      </c>
      <c r="C77" s="37"/>
      <c r="D77" s="80">
        <v>0.25</v>
      </c>
    </row>
    <row r="78" spans="1:6" hidden="1" outlineLevel="1" x14ac:dyDescent="0.25"/>
    <row r="79" spans="1:6" hidden="1" outlineLevel="1" x14ac:dyDescent="0.25">
      <c r="A79" s="674" t="s">
        <v>106</v>
      </c>
      <c r="B79" s="675"/>
      <c r="C79" s="676"/>
    </row>
    <row r="80" spans="1:6" hidden="1" outlineLevel="1" x14ac:dyDescent="0.25">
      <c r="B80" s="1" t="s">
        <v>107</v>
      </c>
    </row>
    <row r="81" spans="1:7" hidden="1" outlineLevel="1" x14ac:dyDescent="0.25">
      <c r="B81" s="1"/>
      <c r="C81" s="54" t="s">
        <v>108</v>
      </c>
      <c r="D81" s="54" t="s">
        <v>109</v>
      </c>
      <c r="E81" s="54" t="s">
        <v>110</v>
      </c>
      <c r="F81" s="54" t="s">
        <v>111</v>
      </c>
      <c r="G81" t="s">
        <v>125</v>
      </c>
    </row>
    <row r="82" spans="1:7" hidden="1" outlineLevel="1" x14ac:dyDescent="0.25">
      <c r="B82" t="s">
        <v>101</v>
      </c>
      <c r="C82" s="78">
        <v>-6.6666666666666141E-5</v>
      </c>
      <c r="D82" s="78">
        <v>4.9999999999999862E-3</v>
      </c>
      <c r="E82" s="78">
        <v>-0.12333333333333325</v>
      </c>
      <c r="F82" s="78">
        <v>1</v>
      </c>
      <c r="G82">
        <v>20</v>
      </c>
    </row>
    <row r="83" spans="1:7" hidden="1" outlineLevel="1" x14ac:dyDescent="0.25">
      <c r="B83" t="s">
        <v>102</v>
      </c>
      <c r="C83" s="78">
        <f>C82</f>
        <v>-6.6666666666666141E-5</v>
      </c>
      <c r="D83" s="78">
        <f t="shared" ref="D83:F83" si="0">D82</f>
        <v>4.9999999999999862E-3</v>
      </c>
      <c r="E83" s="78">
        <f t="shared" si="0"/>
        <v>-0.12333333333333325</v>
      </c>
      <c r="F83" s="78">
        <f t="shared" si="0"/>
        <v>1</v>
      </c>
      <c r="G83">
        <v>20</v>
      </c>
    </row>
    <row r="84" spans="1:7" hidden="1" outlineLevel="1" x14ac:dyDescent="0.25">
      <c r="B84" t="s">
        <v>96</v>
      </c>
      <c r="C84" s="78">
        <v>9.2592592592592154E-5</v>
      </c>
      <c r="D84" s="78">
        <v>1.4814814814814938E-3</v>
      </c>
      <c r="E84" s="78">
        <v>-0.10972222222222229</v>
      </c>
      <c r="F84" s="78">
        <v>0.99999999999999989</v>
      </c>
      <c r="G84">
        <v>15</v>
      </c>
    </row>
    <row r="85" spans="1:7" hidden="1" outlineLevel="1" x14ac:dyDescent="0.25">
      <c r="B85" t="s">
        <v>99</v>
      </c>
      <c r="C85" s="78">
        <f>C$84</f>
        <v>9.2592592592592154E-5</v>
      </c>
      <c r="D85" s="78">
        <f t="shared" ref="D85:F90" si="1">D$84</f>
        <v>1.4814814814814938E-3</v>
      </c>
      <c r="E85" s="78">
        <f t="shared" si="1"/>
        <v>-0.10972222222222229</v>
      </c>
      <c r="F85" s="78">
        <f t="shared" si="1"/>
        <v>0.99999999999999989</v>
      </c>
      <c r="G85">
        <v>15</v>
      </c>
    </row>
    <row r="86" spans="1:7" hidden="1" outlineLevel="1" x14ac:dyDescent="0.25">
      <c r="B86" t="s">
        <v>90</v>
      </c>
      <c r="C86" s="78">
        <v>1.9841269841269792E-4</v>
      </c>
      <c r="D86" s="78">
        <v>1.3888888888888946E-3</v>
      </c>
      <c r="E86" s="78">
        <v>-0.13373015873015873</v>
      </c>
      <c r="F86" s="78">
        <v>0.99999999999999978</v>
      </c>
      <c r="G86">
        <v>10</v>
      </c>
    </row>
    <row r="87" spans="1:7" hidden="1" outlineLevel="1" x14ac:dyDescent="0.25">
      <c r="B87" t="s">
        <v>49</v>
      </c>
      <c r="C87" s="78">
        <f>C$84</f>
        <v>9.2592592592592154E-5</v>
      </c>
      <c r="D87" s="78">
        <f t="shared" si="1"/>
        <v>1.4814814814814938E-3</v>
      </c>
      <c r="E87" s="78">
        <f t="shared" si="1"/>
        <v>-0.10972222222222229</v>
      </c>
      <c r="F87" s="78">
        <f t="shared" si="1"/>
        <v>0.99999999999999989</v>
      </c>
      <c r="G87">
        <v>15</v>
      </c>
    </row>
    <row r="88" spans="1:7" hidden="1" outlineLevel="1" x14ac:dyDescent="0.25">
      <c r="B88" t="s">
        <v>91</v>
      </c>
      <c r="C88" s="78">
        <f t="shared" ref="C88:C90" si="2">C$84</f>
        <v>9.2592592592592154E-5</v>
      </c>
      <c r="D88" s="78">
        <f t="shared" si="1"/>
        <v>1.4814814814814938E-3</v>
      </c>
      <c r="E88" s="78">
        <f t="shared" si="1"/>
        <v>-0.10972222222222229</v>
      </c>
      <c r="F88" s="78">
        <f t="shared" si="1"/>
        <v>0.99999999999999989</v>
      </c>
      <c r="G88">
        <v>15</v>
      </c>
    </row>
    <row r="89" spans="1:7" hidden="1" outlineLevel="1" x14ac:dyDescent="0.25">
      <c r="B89" t="s">
        <v>45</v>
      </c>
      <c r="C89" s="78">
        <f t="shared" si="2"/>
        <v>9.2592592592592154E-5</v>
      </c>
      <c r="D89" s="78">
        <f t="shared" si="1"/>
        <v>1.4814814814814938E-3</v>
      </c>
      <c r="E89" s="78">
        <f t="shared" si="1"/>
        <v>-0.10972222222222229</v>
      </c>
      <c r="F89" s="78">
        <f t="shared" si="1"/>
        <v>0.99999999999999989</v>
      </c>
      <c r="G89">
        <v>15</v>
      </c>
    </row>
    <row r="90" spans="1:7" hidden="1" outlineLevel="1" x14ac:dyDescent="0.25">
      <c r="B90" t="s">
        <v>92</v>
      </c>
      <c r="C90" s="78">
        <f t="shared" si="2"/>
        <v>9.2592592592592154E-5</v>
      </c>
      <c r="D90" s="78">
        <f t="shared" si="1"/>
        <v>1.4814814814814938E-3</v>
      </c>
      <c r="E90" s="78">
        <f t="shared" si="1"/>
        <v>-0.10972222222222229</v>
      </c>
      <c r="F90" s="78">
        <f t="shared" si="1"/>
        <v>0.99999999999999989</v>
      </c>
      <c r="G90">
        <v>15</v>
      </c>
    </row>
    <row r="91" spans="1:7" hidden="1" outlineLevel="1" x14ac:dyDescent="0.25">
      <c r="B91" t="s">
        <v>97</v>
      </c>
      <c r="C91" s="78">
        <f>C$86</f>
        <v>1.9841269841269792E-4</v>
      </c>
      <c r="D91" s="78">
        <f t="shared" ref="D91:F91" si="3">D$86</f>
        <v>1.3888888888888946E-3</v>
      </c>
      <c r="E91" s="78">
        <f t="shared" si="3"/>
        <v>-0.13373015873015873</v>
      </c>
      <c r="F91" s="78">
        <f t="shared" si="3"/>
        <v>0.99999999999999978</v>
      </c>
      <c r="G91">
        <v>10</v>
      </c>
    </row>
    <row r="92" spans="1:7" hidden="1" outlineLevel="1" x14ac:dyDescent="0.25"/>
    <row r="93" spans="1:7" hidden="1" outlineLevel="1" x14ac:dyDescent="0.25">
      <c r="A93" s="674" t="s">
        <v>112</v>
      </c>
      <c r="B93" s="675"/>
      <c r="C93" s="676"/>
    </row>
    <row r="94" spans="1:7" hidden="1" outlineLevel="1" x14ac:dyDescent="0.25">
      <c r="B94" s="1" t="s">
        <v>107</v>
      </c>
    </row>
    <row r="95" spans="1:7" hidden="1" outlineLevel="1" x14ac:dyDescent="0.25">
      <c r="B95" s="1"/>
      <c r="C95" s="54" t="s">
        <v>108</v>
      </c>
      <c r="D95" s="54" t="s">
        <v>109</v>
      </c>
      <c r="E95" s="54" t="s">
        <v>110</v>
      </c>
      <c r="F95" s="54" t="s">
        <v>111</v>
      </c>
      <c r="G95" t="s">
        <v>125</v>
      </c>
    </row>
    <row r="96" spans="1:7" hidden="1" outlineLevel="1" x14ac:dyDescent="0.25">
      <c r="B96" t="s">
        <v>101</v>
      </c>
      <c r="C96" s="78">
        <v>-1.9753086419753036E-17</v>
      </c>
      <c r="D96" s="78">
        <v>2.2222222222222215E-11</v>
      </c>
      <c r="E96" s="78">
        <v>-8.2222222222222252E-6</v>
      </c>
      <c r="F96" s="78">
        <v>1.0000000000000004</v>
      </c>
      <c r="G96">
        <v>300000</v>
      </c>
    </row>
    <row r="97" spans="1:7" hidden="1" outlineLevel="1" x14ac:dyDescent="0.25">
      <c r="B97" t="s">
        <v>102</v>
      </c>
      <c r="C97" s="78">
        <f>C$96</f>
        <v>-1.9753086419753036E-17</v>
      </c>
      <c r="D97" s="78">
        <f t="shared" ref="D97:F97" si="4">D$96</f>
        <v>2.2222222222222215E-11</v>
      </c>
      <c r="E97" s="78">
        <f t="shared" si="4"/>
        <v>-8.2222222222222252E-6</v>
      </c>
      <c r="F97" s="78">
        <f t="shared" si="4"/>
        <v>1.0000000000000004</v>
      </c>
      <c r="G97">
        <v>300000</v>
      </c>
    </row>
    <row r="98" spans="1:7" hidden="1" outlineLevel="1" x14ac:dyDescent="0.25">
      <c r="B98" t="s">
        <v>96</v>
      </c>
      <c r="C98" s="78">
        <v>1.4467592592592727E-18</v>
      </c>
      <c r="D98" s="78">
        <v>9.2592592592591716E-13</v>
      </c>
      <c r="E98" s="78">
        <v>-2.7430555555555548E-6</v>
      </c>
      <c r="F98" s="78">
        <v>1</v>
      </c>
      <c r="G98">
        <v>600000</v>
      </c>
    </row>
    <row r="99" spans="1:7" hidden="1" outlineLevel="1" x14ac:dyDescent="0.25">
      <c r="B99" t="s">
        <v>99</v>
      </c>
      <c r="C99" s="78">
        <f>C$98</f>
        <v>1.4467592592592727E-18</v>
      </c>
      <c r="D99" s="78">
        <f t="shared" ref="D99:F99" si="5">D$98</f>
        <v>9.2592592592591716E-13</v>
      </c>
      <c r="E99" s="78">
        <f t="shared" si="5"/>
        <v>-2.7430555555555548E-6</v>
      </c>
      <c r="F99" s="78">
        <f t="shared" si="5"/>
        <v>1</v>
      </c>
      <c r="G99">
        <v>600000</v>
      </c>
    </row>
    <row r="100" spans="1:7" hidden="1" outlineLevel="1" x14ac:dyDescent="0.25">
      <c r="B100" t="s">
        <v>90</v>
      </c>
      <c r="C100" s="78">
        <v>1.984126984126981E-19</v>
      </c>
      <c r="D100" s="78">
        <v>1.3888888888888981E-13</v>
      </c>
      <c r="E100" s="78">
        <v>-1.3373015873015876E-6</v>
      </c>
      <c r="F100" s="78">
        <v>0.99999999999999989</v>
      </c>
      <c r="G100">
        <v>1000000</v>
      </c>
    </row>
    <row r="101" spans="1:7" hidden="1" outlineLevel="1" x14ac:dyDescent="0.25">
      <c r="B101" t="s">
        <v>49</v>
      </c>
      <c r="C101" s="78">
        <v>3.429355281207159E-18</v>
      </c>
      <c r="D101" s="78">
        <v>1.6460905349794076E-12</v>
      </c>
      <c r="E101" s="78">
        <v>-3.6574074074074048E-6</v>
      </c>
      <c r="F101" s="78">
        <v>0.99999999999999978</v>
      </c>
      <c r="G101">
        <v>450000</v>
      </c>
    </row>
    <row r="102" spans="1:7" hidden="1" outlineLevel="1" x14ac:dyDescent="0.25">
      <c r="B102" t="s">
        <v>91</v>
      </c>
      <c r="C102" s="78">
        <v>4.2866941015089487E-19</v>
      </c>
      <c r="D102" s="78">
        <v>4.115226337448519E-13</v>
      </c>
      <c r="E102" s="78">
        <v>-1.8287037037037024E-6</v>
      </c>
      <c r="F102" s="78">
        <v>0.99999999999999978</v>
      </c>
      <c r="G102">
        <v>900000</v>
      </c>
    </row>
    <row r="103" spans="1:7" hidden="1" outlineLevel="1" x14ac:dyDescent="0.25">
      <c r="B103" t="s">
        <v>45</v>
      </c>
      <c r="C103" s="78">
        <f t="shared" ref="C103:F104" si="6">C$102</f>
        <v>4.2866941015089487E-19</v>
      </c>
      <c r="D103" s="78">
        <f t="shared" si="6"/>
        <v>4.115226337448519E-13</v>
      </c>
      <c r="E103" s="78">
        <f t="shared" si="6"/>
        <v>-1.8287037037037024E-6</v>
      </c>
      <c r="F103" s="78">
        <f t="shared" si="6"/>
        <v>0.99999999999999978</v>
      </c>
      <c r="G103">
        <v>900000</v>
      </c>
    </row>
    <row r="104" spans="1:7" hidden="1" outlineLevel="1" x14ac:dyDescent="0.25">
      <c r="B104" t="s">
        <v>92</v>
      </c>
      <c r="C104" s="78">
        <f t="shared" si="6"/>
        <v>4.2866941015089487E-19</v>
      </c>
      <c r="D104" s="78">
        <f t="shared" si="6"/>
        <v>4.115226337448519E-13</v>
      </c>
      <c r="E104" s="78">
        <f t="shared" si="6"/>
        <v>-1.8287037037037024E-6</v>
      </c>
      <c r="F104" s="78">
        <f t="shared" si="6"/>
        <v>0.99999999999999978</v>
      </c>
      <c r="G104">
        <v>900000</v>
      </c>
    </row>
    <row r="105" spans="1:7" hidden="1" outlineLevel="1" x14ac:dyDescent="0.25">
      <c r="B105" t="s">
        <v>97</v>
      </c>
      <c r="C105" s="78">
        <f>C$100</f>
        <v>1.984126984126981E-19</v>
      </c>
      <c r="D105" s="78">
        <f t="shared" ref="D105:F105" si="7">D$100</f>
        <v>1.3888888888888981E-13</v>
      </c>
      <c r="E105" s="78">
        <f t="shared" si="7"/>
        <v>-1.3373015873015876E-6</v>
      </c>
      <c r="F105" s="78">
        <f t="shared" si="7"/>
        <v>0.99999999999999989</v>
      </c>
      <c r="G105">
        <v>1000000</v>
      </c>
    </row>
    <row r="106" spans="1:7" hidden="1" outlineLevel="1" x14ac:dyDescent="0.25"/>
    <row r="107" spans="1:7" hidden="1" outlineLevel="1" x14ac:dyDescent="0.25">
      <c r="A107" t="s">
        <v>131</v>
      </c>
    </row>
    <row r="108" spans="1:7" hidden="1" outlineLevel="1" x14ac:dyDescent="0.25"/>
    <row r="109" spans="1:7" hidden="1" outlineLevel="1" x14ac:dyDescent="0.25">
      <c r="B109" t="s">
        <v>132</v>
      </c>
    </row>
    <row r="110" spans="1:7" hidden="1" outlineLevel="1" x14ac:dyDescent="0.25">
      <c r="B110" t="s">
        <v>133</v>
      </c>
    </row>
    <row r="111" spans="1:7" collapsed="1" x14ac:dyDescent="0.25"/>
  </sheetData>
  <sheetProtection algorithmName="SHA-512" hashValue="wv9UM/+XWSoKPgmsTUeBeZbxDdUj7M79eJjjzeoG7xZLTj+GkyzjuRbOJQUKvb2rqjrfxQUtom5ZRE7J65yl0w==" saltValue="ZaNSqT5DAJppQ/Oh/OoOww==" spinCount="100000" sheet="1" objects="1" scenarios="1"/>
  <mergeCells count="68">
    <mergeCell ref="C47:D47"/>
    <mergeCell ref="E9:R9"/>
    <mergeCell ref="E10:R10"/>
    <mergeCell ref="E13:R13"/>
    <mergeCell ref="E23:R23"/>
    <mergeCell ref="E26:R26"/>
    <mergeCell ref="E27:R28"/>
    <mergeCell ref="E29:R31"/>
    <mergeCell ref="E32:R35"/>
    <mergeCell ref="E36:R36"/>
    <mergeCell ref="E39:R39"/>
    <mergeCell ref="E14:R22"/>
    <mergeCell ref="C3:D3"/>
    <mergeCell ref="B64:C64"/>
    <mergeCell ref="C31:D31"/>
    <mergeCell ref="C33:D33"/>
    <mergeCell ref="C36:D36"/>
    <mergeCell ref="C27:D27"/>
    <mergeCell ref="C28:D28"/>
    <mergeCell ref="C29:D29"/>
    <mergeCell ref="C30:D30"/>
    <mergeCell ref="C32:D32"/>
    <mergeCell ref="C23:D23"/>
    <mergeCell ref="C26:D26"/>
    <mergeCell ref="B4:B7"/>
    <mergeCell ref="C8:D8"/>
    <mergeCell ref="C9:D9"/>
    <mergeCell ref="C10:D10"/>
    <mergeCell ref="A79:C79"/>
    <mergeCell ref="A93:C93"/>
    <mergeCell ref="C34:D34"/>
    <mergeCell ref="C35:D35"/>
    <mergeCell ref="C39:D39"/>
    <mergeCell ref="C40:D40"/>
    <mergeCell ref="C41:D41"/>
    <mergeCell ref="C42:D42"/>
    <mergeCell ref="B65:B66"/>
    <mergeCell ref="B68:B69"/>
    <mergeCell ref="C43:D43"/>
    <mergeCell ref="C49:D49"/>
    <mergeCell ref="C48:D48"/>
    <mergeCell ref="C44:D44"/>
    <mergeCell ref="C45:D45"/>
    <mergeCell ref="C46:D46"/>
    <mergeCell ref="E3:R3"/>
    <mergeCell ref="E4:R4"/>
    <mergeCell ref="E5:R5"/>
    <mergeCell ref="E6:R7"/>
    <mergeCell ref="E8:R8"/>
    <mergeCell ref="F52:R52"/>
    <mergeCell ref="F53:R53"/>
    <mergeCell ref="F54:R54"/>
    <mergeCell ref="F55:R55"/>
    <mergeCell ref="E40:R41"/>
    <mergeCell ref="E47:R47"/>
    <mergeCell ref="E48:R48"/>
    <mergeCell ref="E49:R49"/>
    <mergeCell ref="E42:R43"/>
    <mergeCell ref="E44:R44"/>
    <mergeCell ref="E45:R45"/>
    <mergeCell ref="E46:R46"/>
    <mergeCell ref="F60:R60"/>
    <mergeCell ref="F61:R61"/>
    <mergeCell ref="F62:R62"/>
    <mergeCell ref="F56:R56"/>
    <mergeCell ref="F57:R57"/>
    <mergeCell ref="F58:R58"/>
    <mergeCell ref="F59:R59"/>
  </mergeCells>
  <hyperlinks>
    <hyperlink ref="E29" r:id="rId1" xr:uid="{00000000-0004-0000-0700-000000000000}"/>
    <hyperlink ref="E42" r:id="rId2" xr:uid="{00000000-0004-0000-0700-000001000000}"/>
    <hyperlink ref="E10" r:id="rId3" display="https://www.ecologique-solidaire.gouv.fr/sites/default/files/Th%C3%A9ma - Concept autoroute %C3%A9lectrique.pdf" xr:uid="{00000000-0004-0000-0700-000002000000}"/>
    <hyperlink ref="E9" r:id="rId4" display="https://www.ecologique-solidaire.gouv.fr/sites/default/files/Th%C3%A9ma - Concept autoroute %C3%A9lectrique.pdf" xr:uid="{00000000-0004-0000-0700-000003000000}"/>
    <hyperlink ref="E5" r:id="rId5" xr:uid="{00000000-0004-0000-0700-000004000000}"/>
    <hyperlink ref="E4" r:id="rId6" xr:uid="{00000000-0004-0000-0700-000005000000}"/>
    <hyperlink ref="E6" r:id="rId7" xr:uid="{00000000-0004-0000-0700-000006000000}"/>
    <hyperlink ref="E8" r:id="rId8" xr:uid="{00000000-0004-0000-0700-000007000000}"/>
  </hyperlinks>
  <pageMargins left="0.7" right="0.7" top="0.75" bottom="0.75" header="0.3" footer="0.3"/>
  <pageSetup paperSize="9" orientation="portrait" r:id="rId9"/>
  <drawing r:id="rId10"/>
  <legacyDrawing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2AF44-5C84-4BDC-9FBF-A514025F47AC}">
  <sheetPr>
    <tabColor theme="4" tint="0.59999389629810485"/>
  </sheetPr>
  <dimension ref="A1:G73"/>
  <sheetViews>
    <sheetView showGridLines="0" zoomScale="90" zoomScaleNormal="90" workbookViewId="0">
      <pane ySplit="1" topLeftCell="A5" activePane="bottomLeft" state="frozen"/>
      <selection pane="bottomLeft" activeCell="F16" sqref="F16"/>
    </sheetView>
  </sheetViews>
  <sheetFormatPr baseColWidth="10" defaultColWidth="11.42578125" defaultRowHeight="15" outlineLevelRow="1" x14ac:dyDescent="0.25"/>
  <cols>
    <col min="1" max="1" width="2.42578125" customWidth="1"/>
    <col min="2" max="2" width="8.140625" style="28" customWidth="1"/>
    <col min="3" max="3" width="44.140625" style="28" customWidth="1"/>
    <col min="4" max="4" width="53.140625" style="28" customWidth="1"/>
    <col min="5" max="5" width="22.7109375" style="54" customWidth="1"/>
    <col min="6" max="6" width="24.28515625" customWidth="1"/>
    <col min="7" max="7" width="28.7109375" customWidth="1"/>
  </cols>
  <sheetData>
    <row r="1" spans="2:7" ht="30.95" customHeight="1" x14ac:dyDescent="0.25">
      <c r="C1" s="495" t="s">
        <v>304</v>
      </c>
      <c r="D1" s="495"/>
      <c r="E1" s="495"/>
    </row>
    <row r="3" spans="2:7" ht="63.95" customHeight="1" x14ac:dyDescent="0.25">
      <c r="B3" s="496" t="s">
        <v>305</v>
      </c>
      <c r="C3" s="497"/>
      <c r="D3" s="497"/>
      <c r="E3" s="498"/>
    </row>
    <row r="5" spans="2:7" x14ac:dyDescent="0.25">
      <c r="B5" s="499" t="s">
        <v>246</v>
      </c>
      <c r="C5" s="499"/>
    </row>
    <row r="7" spans="2:7" ht="18.75" x14ac:dyDescent="0.25">
      <c r="B7" s="494" t="s">
        <v>306</v>
      </c>
      <c r="C7" s="494"/>
    </row>
    <row r="8" spans="2:7" outlineLevel="1" x14ac:dyDescent="0.25"/>
    <row r="9" spans="2:7" ht="32.450000000000003" customHeight="1" outlineLevel="1" x14ac:dyDescent="0.25">
      <c r="C9" s="294" t="s">
        <v>248</v>
      </c>
      <c r="D9" s="283" t="s">
        <v>307</v>
      </c>
      <c r="E9" s="283" t="s">
        <v>204</v>
      </c>
      <c r="F9" s="482" t="s">
        <v>389</v>
      </c>
      <c r="G9" s="283" t="s">
        <v>308</v>
      </c>
    </row>
    <row r="10" spans="2:7" ht="18.95" customHeight="1" outlineLevel="1" x14ac:dyDescent="0.25">
      <c r="C10" s="295" t="s">
        <v>309</v>
      </c>
      <c r="D10" s="285"/>
      <c r="E10" s="286"/>
      <c r="F10" s="480"/>
      <c r="G10" s="286">
        <f>E10*F10</f>
        <v>0</v>
      </c>
    </row>
    <row r="11" spans="2:7" ht="18.95" customHeight="1" outlineLevel="1" x14ac:dyDescent="0.25">
      <c r="C11" s="295" t="s">
        <v>310</v>
      </c>
      <c r="D11" s="285"/>
      <c r="E11" s="286"/>
      <c r="F11" s="480"/>
      <c r="G11" s="286">
        <f t="shared" ref="G11:G19" si="0">E11*F11</f>
        <v>0</v>
      </c>
    </row>
    <row r="12" spans="2:7" ht="18.95" customHeight="1" outlineLevel="1" x14ac:dyDescent="0.25">
      <c r="C12" s="295" t="s">
        <v>311</v>
      </c>
      <c r="D12" s="285"/>
      <c r="E12" s="286"/>
      <c r="F12" s="480"/>
      <c r="G12" s="286">
        <f t="shared" si="0"/>
        <v>0</v>
      </c>
    </row>
    <row r="13" spans="2:7" ht="18.95" customHeight="1" outlineLevel="1" x14ac:dyDescent="0.25">
      <c r="C13" s="295" t="s">
        <v>312</v>
      </c>
      <c r="D13" s="285"/>
      <c r="E13" s="286"/>
      <c r="F13" s="480"/>
      <c r="G13" s="286">
        <f t="shared" si="0"/>
        <v>0</v>
      </c>
    </row>
    <row r="14" spans="2:7" ht="18.95" customHeight="1" outlineLevel="1" x14ac:dyDescent="0.25">
      <c r="C14" s="295" t="s">
        <v>202</v>
      </c>
      <c r="D14" s="285"/>
      <c r="E14" s="286"/>
      <c r="F14" s="480"/>
      <c r="G14" s="286">
        <f t="shared" si="0"/>
        <v>0</v>
      </c>
    </row>
    <row r="15" spans="2:7" ht="18.95" customHeight="1" outlineLevel="1" x14ac:dyDescent="0.25">
      <c r="C15" s="295" t="s">
        <v>313</v>
      </c>
      <c r="D15" s="285"/>
      <c r="E15" s="286"/>
      <c r="F15" s="480"/>
      <c r="G15" s="286">
        <f t="shared" si="0"/>
        <v>0</v>
      </c>
    </row>
    <row r="16" spans="2:7" ht="18.75" customHeight="1" outlineLevel="1" x14ac:dyDescent="0.25">
      <c r="C16" s="295" t="s">
        <v>314</v>
      </c>
      <c r="D16" s="285"/>
      <c r="E16" s="286"/>
      <c r="F16" s="480"/>
      <c r="G16" s="286">
        <f t="shared" si="0"/>
        <v>0</v>
      </c>
    </row>
    <row r="17" spans="1:7" ht="18.75" customHeight="1" outlineLevel="1" x14ac:dyDescent="0.25">
      <c r="C17" s="295" t="s">
        <v>315</v>
      </c>
      <c r="D17" s="285"/>
      <c r="E17" s="286"/>
      <c r="F17" s="480"/>
      <c r="G17" s="286">
        <f t="shared" si="0"/>
        <v>0</v>
      </c>
    </row>
    <row r="18" spans="1:7" ht="18.75" customHeight="1" outlineLevel="1" x14ac:dyDescent="0.25">
      <c r="C18" s="295" t="s">
        <v>316</v>
      </c>
      <c r="D18" s="285"/>
      <c r="E18" s="286"/>
      <c r="F18" s="480"/>
      <c r="G18" s="286">
        <f t="shared" si="0"/>
        <v>0</v>
      </c>
    </row>
    <row r="19" spans="1:7" ht="18.95" customHeight="1" outlineLevel="1" x14ac:dyDescent="0.25">
      <c r="C19" s="296" t="s">
        <v>203</v>
      </c>
      <c r="D19" s="285"/>
      <c r="E19" s="286"/>
      <c r="F19" s="480"/>
      <c r="G19" s="286">
        <f t="shared" si="0"/>
        <v>0</v>
      </c>
    </row>
    <row r="20" spans="1:7" s="28" customFormat="1" ht="26.1" customHeight="1" outlineLevel="1" x14ac:dyDescent="0.25">
      <c r="A20"/>
      <c r="C20" s="492" t="s">
        <v>275</v>
      </c>
      <c r="D20" s="493"/>
      <c r="E20" s="289">
        <f>SUM(E10:E19)</f>
        <v>0</v>
      </c>
      <c r="F20" s="481"/>
      <c r="G20" s="289">
        <f>SUM(G10:G19)</f>
        <v>0</v>
      </c>
    </row>
    <row r="21" spans="1:7" s="28" customFormat="1" ht="12" customHeight="1" outlineLevel="1" x14ac:dyDescent="0.25">
      <c r="A21"/>
    </row>
    <row r="22" spans="1:7" s="28" customFormat="1" ht="12" customHeight="1" outlineLevel="1" x14ac:dyDescent="0.25">
      <c r="A22"/>
      <c r="E22" s="54"/>
    </row>
    <row r="23" spans="1:7" s="28" customFormat="1" ht="32.450000000000003" customHeight="1" outlineLevel="1" x14ac:dyDescent="0.25">
      <c r="A23"/>
      <c r="C23" s="294" t="s">
        <v>276</v>
      </c>
      <c r="D23" s="283" t="s">
        <v>307</v>
      </c>
      <c r="E23" s="283" t="s">
        <v>250</v>
      </c>
    </row>
    <row r="24" spans="1:7" s="28" customFormat="1" ht="18.95" customHeight="1" outlineLevel="1" x14ac:dyDescent="0.25">
      <c r="A24"/>
      <c r="C24" s="296" t="s">
        <v>277</v>
      </c>
      <c r="D24" s="288"/>
      <c r="E24" s="290"/>
    </row>
    <row r="25" spans="1:7" s="28" customFormat="1" ht="18.95" customHeight="1" outlineLevel="1" x14ac:dyDescent="0.25">
      <c r="A25"/>
      <c r="C25" s="296" t="s">
        <v>277</v>
      </c>
      <c r="D25" s="291"/>
      <c r="E25" s="290"/>
    </row>
    <row r="26" spans="1:7" s="28" customFormat="1" ht="26.1" customHeight="1" outlineLevel="1" x14ac:dyDescent="0.25">
      <c r="A26"/>
      <c r="C26" s="492" t="s">
        <v>278</v>
      </c>
      <c r="D26" s="493"/>
      <c r="E26" s="289">
        <f>SUM(E24:E25)</f>
        <v>0</v>
      </c>
    </row>
    <row r="27" spans="1:7" s="28" customFormat="1" outlineLevel="1" x14ac:dyDescent="0.25">
      <c r="A27"/>
      <c r="C27" s="292"/>
      <c r="E27" s="54"/>
    </row>
    <row r="28" spans="1:7" s="28" customFormat="1" ht="26.1" customHeight="1" outlineLevel="1" x14ac:dyDescent="0.25">
      <c r="A28"/>
      <c r="C28" s="492" t="s">
        <v>317</v>
      </c>
      <c r="D28" s="493"/>
      <c r="E28" s="289">
        <f>G20+E26</f>
        <v>0</v>
      </c>
    </row>
    <row r="29" spans="1:7" s="28" customFormat="1" outlineLevel="1" x14ac:dyDescent="0.25">
      <c r="A29"/>
      <c r="E29" s="54"/>
    </row>
    <row r="30" spans="1:7" s="28" customFormat="1" x14ac:dyDescent="0.25">
      <c r="A30"/>
      <c r="E30" s="54"/>
    </row>
    <row r="31" spans="1:7" s="28" customFormat="1" ht="18.75" x14ac:dyDescent="0.25">
      <c r="A31"/>
      <c r="B31" s="494" t="s">
        <v>318</v>
      </c>
      <c r="C31" s="494"/>
      <c r="D31" s="494"/>
      <c r="E31" s="54"/>
    </row>
    <row r="32" spans="1:7" s="28" customFormat="1" outlineLevel="1" x14ac:dyDescent="0.25">
      <c r="A32"/>
      <c r="E32" s="54"/>
    </row>
    <row r="33" spans="1:5" s="28" customFormat="1" ht="32.450000000000003" customHeight="1" outlineLevel="1" x14ac:dyDescent="0.25">
      <c r="A33"/>
      <c r="C33" s="294" t="s">
        <v>248</v>
      </c>
      <c r="D33" s="283" t="s">
        <v>307</v>
      </c>
      <c r="E33" s="283" t="s">
        <v>250</v>
      </c>
    </row>
    <row r="34" spans="1:5" s="28" customFormat="1" ht="18.95" customHeight="1" outlineLevel="1" x14ac:dyDescent="0.25">
      <c r="A34"/>
      <c r="C34" s="297" t="s">
        <v>277</v>
      </c>
      <c r="D34" s="288"/>
      <c r="E34" s="290"/>
    </row>
    <row r="35" spans="1:5" s="28" customFormat="1" ht="18.95" customHeight="1" outlineLevel="1" x14ac:dyDescent="0.25">
      <c r="A35"/>
      <c r="C35" s="297" t="s">
        <v>277</v>
      </c>
      <c r="D35" s="288"/>
      <c r="E35" s="290"/>
    </row>
    <row r="36" spans="1:5" ht="18.95" customHeight="1" outlineLevel="1" x14ac:dyDescent="0.25">
      <c r="C36" s="297" t="s">
        <v>277</v>
      </c>
      <c r="D36" s="288"/>
      <c r="E36" s="290"/>
    </row>
    <row r="37" spans="1:5" ht="18.95" customHeight="1" outlineLevel="1" x14ac:dyDescent="0.25">
      <c r="C37" s="297" t="s">
        <v>277</v>
      </c>
      <c r="D37" s="288"/>
      <c r="E37" s="290"/>
    </row>
    <row r="38" spans="1:5" ht="26.1" customHeight="1" outlineLevel="1" x14ac:dyDescent="0.25">
      <c r="C38" s="492" t="s">
        <v>275</v>
      </c>
      <c r="D38" s="493"/>
      <c r="E38" s="289">
        <f>SUM(E34:E37)</f>
        <v>0</v>
      </c>
    </row>
    <row r="39" spans="1:5" ht="12" customHeight="1" outlineLevel="1" x14ac:dyDescent="0.25">
      <c r="A39" s="28"/>
      <c r="E39" s="28"/>
    </row>
    <row r="40" spans="1:5" ht="12" customHeight="1" outlineLevel="1" x14ac:dyDescent="0.25">
      <c r="E40" s="28"/>
    </row>
    <row r="41" spans="1:5" ht="32.450000000000003" customHeight="1" outlineLevel="1" x14ac:dyDescent="0.25">
      <c r="C41" s="294" t="s">
        <v>276</v>
      </c>
      <c r="D41" s="283" t="s">
        <v>307</v>
      </c>
      <c r="E41" s="283" t="s">
        <v>250</v>
      </c>
    </row>
    <row r="42" spans="1:5" ht="18.95" customHeight="1" outlineLevel="1" x14ac:dyDescent="0.25">
      <c r="C42" s="297" t="s">
        <v>277</v>
      </c>
      <c r="D42" s="288"/>
      <c r="E42" s="290"/>
    </row>
    <row r="43" spans="1:5" ht="18.95" customHeight="1" outlineLevel="1" x14ac:dyDescent="0.25">
      <c r="C43" s="297" t="s">
        <v>277</v>
      </c>
      <c r="D43" s="288"/>
      <c r="E43" s="290"/>
    </row>
    <row r="44" spans="1:5" ht="26.1" customHeight="1" outlineLevel="1" x14ac:dyDescent="0.25">
      <c r="C44" s="492" t="s">
        <v>285</v>
      </c>
      <c r="D44" s="493"/>
      <c r="E44" s="289">
        <f>SUM(E42:E43)</f>
        <v>0</v>
      </c>
    </row>
    <row r="45" spans="1:5" outlineLevel="1" x14ac:dyDescent="0.25">
      <c r="C45" s="292"/>
    </row>
    <row r="46" spans="1:5" ht="26.1" customHeight="1" outlineLevel="1" x14ac:dyDescent="0.25">
      <c r="C46" s="492" t="s">
        <v>319</v>
      </c>
      <c r="D46" s="493"/>
      <c r="E46" s="289">
        <f>E38+E44</f>
        <v>0</v>
      </c>
    </row>
    <row r="47" spans="1:5" outlineLevel="1" x14ac:dyDescent="0.25"/>
    <row r="49" spans="2:5" ht="18.75" x14ac:dyDescent="0.25">
      <c r="B49" s="494" t="s">
        <v>320</v>
      </c>
      <c r="C49" s="494"/>
    </row>
    <row r="50" spans="2:5" outlineLevel="1" x14ac:dyDescent="0.25"/>
    <row r="51" spans="2:5" ht="32.450000000000003" customHeight="1" outlineLevel="1" x14ac:dyDescent="0.25">
      <c r="C51" s="294" t="s">
        <v>248</v>
      </c>
      <c r="D51" s="283" t="s">
        <v>307</v>
      </c>
      <c r="E51" s="283" t="s">
        <v>250</v>
      </c>
    </row>
    <row r="52" spans="2:5" ht="18.95" customHeight="1" outlineLevel="1" x14ac:dyDescent="0.25">
      <c r="C52" s="297" t="s">
        <v>277</v>
      </c>
      <c r="D52" s="288"/>
      <c r="E52" s="290"/>
    </row>
    <row r="53" spans="2:5" ht="18.95" customHeight="1" outlineLevel="1" x14ac:dyDescent="0.25">
      <c r="C53" s="297" t="s">
        <v>277</v>
      </c>
      <c r="D53" s="288"/>
      <c r="E53" s="290"/>
    </row>
    <row r="54" spans="2:5" ht="18.95" customHeight="1" outlineLevel="1" x14ac:dyDescent="0.25">
      <c r="C54" s="297" t="s">
        <v>277</v>
      </c>
      <c r="D54" s="288"/>
      <c r="E54" s="290"/>
    </row>
    <row r="55" spans="2:5" ht="18.95" customHeight="1" outlineLevel="1" x14ac:dyDescent="0.25">
      <c r="C55" s="297" t="s">
        <v>277</v>
      </c>
      <c r="D55" s="288"/>
      <c r="E55" s="290"/>
    </row>
    <row r="56" spans="2:5" ht="26.1" customHeight="1" outlineLevel="1" x14ac:dyDescent="0.25">
      <c r="C56" s="492" t="s">
        <v>275</v>
      </c>
      <c r="D56" s="493"/>
      <c r="E56" s="289">
        <f>SUM(E52:E55)</f>
        <v>0</v>
      </c>
    </row>
    <row r="57" spans="2:5" ht="12" customHeight="1" outlineLevel="1" x14ac:dyDescent="0.25">
      <c r="E57" s="28"/>
    </row>
    <row r="58" spans="2:5" ht="12" customHeight="1" outlineLevel="1" x14ac:dyDescent="0.25">
      <c r="E58" s="28"/>
    </row>
    <row r="59" spans="2:5" ht="32.450000000000003" customHeight="1" outlineLevel="1" x14ac:dyDescent="0.25">
      <c r="C59" s="294" t="s">
        <v>276</v>
      </c>
      <c r="D59" s="283" t="s">
        <v>307</v>
      </c>
      <c r="E59" s="283" t="s">
        <v>250</v>
      </c>
    </row>
    <row r="60" spans="2:5" ht="18.95" customHeight="1" outlineLevel="1" x14ac:dyDescent="0.25">
      <c r="C60" s="297" t="s">
        <v>277</v>
      </c>
      <c r="D60" s="288"/>
      <c r="E60" s="290"/>
    </row>
    <row r="61" spans="2:5" ht="18.95" customHeight="1" outlineLevel="1" x14ac:dyDescent="0.25">
      <c r="C61" s="297" t="s">
        <v>277</v>
      </c>
      <c r="D61" s="288"/>
      <c r="E61" s="290"/>
    </row>
    <row r="62" spans="2:5" ht="26.1" customHeight="1" outlineLevel="1" x14ac:dyDescent="0.25">
      <c r="C62" s="492" t="s">
        <v>285</v>
      </c>
      <c r="D62" s="493"/>
      <c r="E62" s="289">
        <f>SUM(E60:E61)</f>
        <v>0</v>
      </c>
    </row>
    <row r="63" spans="2:5" outlineLevel="1" x14ac:dyDescent="0.25">
      <c r="C63" s="292"/>
    </row>
    <row r="64" spans="2:5" ht="26.1" customHeight="1" outlineLevel="1" x14ac:dyDescent="0.25">
      <c r="C64" s="492" t="s">
        <v>321</v>
      </c>
      <c r="D64" s="493"/>
      <c r="E64" s="289">
        <f>E56+E62</f>
        <v>0</v>
      </c>
    </row>
    <row r="65" spans="1:5" outlineLevel="1" x14ac:dyDescent="0.25"/>
    <row r="67" spans="1:5" x14ac:dyDescent="0.25">
      <c r="C67" s="292"/>
    </row>
    <row r="68" spans="1:5" ht="18.75" x14ac:dyDescent="0.25">
      <c r="B68" s="494" t="s">
        <v>302</v>
      </c>
      <c r="C68" s="494"/>
    </row>
    <row r="69" spans="1:5" s="28" customFormat="1" outlineLevel="1" x14ac:dyDescent="0.25">
      <c r="A69"/>
      <c r="E69" s="54"/>
    </row>
    <row r="70" spans="1:5" s="28" customFormat="1" ht="33.6" customHeight="1" outlineLevel="1" x14ac:dyDescent="0.25">
      <c r="A70"/>
      <c r="C70" s="492" t="s">
        <v>275</v>
      </c>
      <c r="D70" s="493"/>
      <c r="E70" s="289">
        <f>G20+E38+E56</f>
        <v>0</v>
      </c>
    </row>
    <row r="71" spans="1:5" s="28" customFormat="1" ht="7.5" customHeight="1" outlineLevel="1" x14ac:dyDescent="0.25">
      <c r="A71"/>
      <c r="C71" s="292"/>
      <c r="E71" s="54"/>
    </row>
    <row r="72" spans="1:5" s="28" customFormat="1" ht="33.6" customHeight="1" outlineLevel="1" x14ac:dyDescent="0.25">
      <c r="A72"/>
      <c r="C72" s="492" t="s">
        <v>322</v>
      </c>
      <c r="D72" s="493"/>
      <c r="E72" s="289">
        <f>E28+E46+E64</f>
        <v>0</v>
      </c>
    </row>
    <row r="73" spans="1:5" s="28" customFormat="1" x14ac:dyDescent="0.25">
      <c r="A73"/>
      <c r="E73" s="54"/>
    </row>
  </sheetData>
  <dataConsolidate/>
  <mergeCells count="18">
    <mergeCell ref="C26:D26"/>
    <mergeCell ref="C1:E1"/>
    <mergeCell ref="B3:E3"/>
    <mergeCell ref="B5:C5"/>
    <mergeCell ref="B7:C7"/>
    <mergeCell ref="C20:D20"/>
    <mergeCell ref="C72:D72"/>
    <mergeCell ref="C28:D28"/>
    <mergeCell ref="B31:D31"/>
    <mergeCell ref="C38:D38"/>
    <mergeCell ref="C44:D44"/>
    <mergeCell ref="C46:D46"/>
    <mergeCell ref="B49:C49"/>
    <mergeCell ref="C56:D56"/>
    <mergeCell ref="C62:D62"/>
    <mergeCell ref="C64:D64"/>
    <mergeCell ref="B68:C68"/>
    <mergeCell ref="C70:D70"/>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2CA55-0D77-4D7B-9659-4FE1FF819E45}">
  <sheetPr>
    <tabColor theme="8" tint="0.79998168889431442"/>
  </sheetPr>
  <dimension ref="A1:I100"/>
  <sheetViews>
    <sheetView showGridLines="0" zoomScale="90" zoomScaleNormal="90" workbookViewId="0">
      <pane ySplit="1" topLeftCell="A2" activePane="bottomLeft" state="frozen"/>
      <selection pane="bottomLeft" activeCell="D26" sqref="D26"/>
    </sheetView>
  </sheetViews>
  <sheetFormatPr baseColWidth="10" defaultColWidth="11.42578125" defaultRowHeight="15" outlineLevelRow="1" x14ac:dyDescent="0.25"/>
  <cols>
    <col min="1" max="1" width="2.42578125" customWidth="1"/>
    <col min="2" max="2" width="8.140625" style="28" customWidth="1"/>
    <col min="3" max="3" width="47.42578125" style="28" customWidth="1"/>
    <col min="4" max="4" width="45" style="28" bestFit="1" customWidth="1"/>
    <col min="5" max="5" width="43.85546875" style="28" customWidth="1"/>
    <col min="6" max="6" width="16.5703125" style="54" customWidth="1"/>
    <col min="7" max="8" width="16.5703125" style="28" customWidth="1"/>
    <col min="9" max="9" width="14.7109375" customWidth="1"/>
  </cols>
  <sheetData>
    <row r="1" spans="2:7" ht="30.95" customHeight="1" x14ac:dyDescent="0.25">
      <c r="C1" s="495" t="s">
        <v>243</v>
      </c>
      <c r="D1" s="495"/>
      <c r="E1" s="495"/>
      <c r="F1" s="495"/>
    </row>
    <row r="3" spans="2:7" ht="83.1" customHeight="1" x14ac:dyDescent="0.25">
      <c r="B3" s="496" t="s">
        <v>244</v>
      </c>
      <c r="C3" s="497"/>
      <c r="D3" s="497"/>
      <c r="E3" s="497"/>
      <c r="F3" s="498"/>
      <c r="G3" s="28" t="s">
        <v>245</v>
      </c>
    </row>
    <row r="5" spans="2:7" x14ac:dyDescent="0.25">
      <c r="B5" s="499" t="s">
        <v>246</v>
      </c>
      <c r="C5" s="499"/>
    </row>
    <row r="7" spans="2:7" ht="18.75" x14ac:dyDescent="0.25">
      <c r="B7" s="494" t="s">
        <v>247</v>
      </c>
      <c r="C7" s="494"/>
    </row>
    <row r="8" spans="2:7" outlineLevel="1" x14ac:dyDescent="0.25"/>
    <row r="9" spans="2:7" ht="32.450000000000003" customHeight="1" outlineLevel="1" x14ac:dyDescent="0.25">
      <c r="C9" s="507" t="s">
        <v>248</v>
      </c>
      <c r="D9" s="508"/>
      <c r="E9" s="283" t="s">
        <v>249</v>
      </c>
      <c r="F9" s="283" t="s">
        <v>250</v>
      </c>
    </row>
    <row r="10" spans="2:7" outlineLevel="1" x14ac:dyDescent="0.25">
      <c r="C10" s="503" t="s">
        <v>251</v>
      </c>
      <c r="D10" s="284" t="s">
        <v>252</v>
      </c>
      <c r="E10" s="285"/>
      <c r="F10" s="286"/>
    </row>
    <row r="11" spans="2:7" outlineLevel="1" x14ac:dyDescent="0.25">
      <c r="C11" s="503"/>
      <c r="D11" s="287" t="s">
        <v>253</v>
      </c>
      <c r="E11" s="285"/>
      <c r="F11" s="286"/>
    </row>
    <row r="12" spans="2:7" outlineLevel="1" x14ac:dyDescent="0.25">
      <c r="C12" s="503"/>
      <c r="D12" s="284" t="s">
        <v>254</v>
      </c>
      <c r="E12" s="285"/>
      <c r="F12" s="286"/>
    </row>
    <row r="13" spans="2:7" outlineLevel="1" x14ac:dyDescent="0.25">
      <c r="C13" s="503"/>
      <c r="D13" s="288" t="s">
        <v>255</v>
      </c>
      <c r="E13" s="285"/>
      <c r="F13" s="286"/>
    </row>
    <row r="14" spans="2:7" outlineLevel="1" x14ac:dyDescent="0.25">
      <c r="C14" s="503" t="s">
        <v>256</v>
      </c>
      <c r="D14" s="284" t="s">
        <v>257</v>
      </c>
      <c r="E14" s="285"/>
      <c r="F14" s="286"/>
    </row>
    <row r="15" spans="2:7" outlineLevel="1" x14ac:dyDescent="0.25">
      <c r="C15" s="503"/>
      <c r="D15" s="284" t="s">
        <v>258</v>
      </c>
      <c r="E15" s="285"/>
      <c r="F15" s="286"/>
    </row>
    <row r="16" spans="2:7" outlineLevel="1" x14ac:dyDescent="0.25">
      <c r="C16" s="503"/>
      <c r="D16" s="284" t="s">
        <v>259</v>
      </c>
      <c r="E16" s="285"/>
      <c r="F16" s="286"/>
    </row>
    <row r="17" spans="3:6" outlineLevel="1" x14ac:dyDescent="0.25">
      <c r="C17" s="503"/>
      <c r="D17" s="288" t="s">
        <v>255</v>
      </c>
      <c r="E17" s="285"/>
      <c r="F17" s="286"/>
    </row>
    <row r="18" spans="3:6" outlineLevel="1" x14ac:dyDescent="0.25">
      <c r="C18" s="503" t="s">
        <v>260</v>
      </c>
      <c r="D18" s="284" t="s">
        <v>261</v>
      </c>
      <c r="E18" s="285"/>
      <c r="F18" s="286"/>
    </row>
    <row r="19" spans="3:6" outlineLevel="1" x14ac:dyDescent="0.25">
      <c r="C19" s="503"/>
      <c r="D19" s="284" t="s">
        <v>262</v>
      </c>
      <c r="E19" s="285"/>
      <c r="F19" s="286"/>
    </row>
    <row r="20" spans="3:6" outlineLevel="1" x14ac:dyDescent="0.25">
      <c r="C20" s="503"/>
      <c r="D20" s="284" t="s">
        <v>263</v>
      </c>
      <c r="E20" s="285"/>
      <c r="F20" s="286"/>
    </row>
    <row r="21" spans="3:6" outlineLevel="1" x14ac:dyDescent="0.25">
      <c r="C21" s="503"/>
      <c r="D21" s="284" t="s">
        <v>264</v>
      </c>
      <c r="E21" s="285"/>
      <c r="F21" s="286"/>
    </row>
    <row r="22" spans="3:6" outlineLevel="1" x14ac:dyDescent="0.25">
      <c r="C22" s="503"/>
      <c r="D22" s="288" t="s">
        <v>255</v>
      </c>
      <c r="E22" s="285"/>
      <c r="F22" s="286"/>
    </row>
    <row r="23" spans="3:6" outlineLevel="1" x14ac:dyDescent="0.25">
      <c r="C23" s="504" t="s">
        <v>265</v>
      </c>
      <c r="D23" s="284" t="s">
        <v>266</v>
      </c>
      <c r="E23" s="285"/>
      <c r="F23" s="286"/>
    </row>
    <row r="24" spans="3:6" outlineLevel="1" x14ac:dyDescent="0.25">
      <c r="C24" s="506"/>
      <c r="D24" s="288" t="s">
        <v>255</v>
      </c>
      <c r="E24" s="285"/>
      <c r="F24" s="286"/>
    </row>
    <row r="25" spans="3:6" outlineLevel="1" x14ac:dyDescent="0.25">
      <c r="C25" s="503" t="s">
        <v>267</v>
      </c>
      <c r="D25" s="284" t="s">
        <v>268</v>
      </c>
      <c r="E25" s="285"/>
      <c r="F25" s="286"/>
    </row>
    <row r="26" spans="3:6" outlineLevel="1" x14ac:dyDescent="0.25">
      <c r="C26" s="503"/>
      <c r="D26" s="288" t="s">
        <v>255</v>
      </c>
      <c r="E26" s="285"/>
      <c r="F26" s="286"/>
    </row>
    <row r="27" spans="3:6" outlineLevel="1" x14ac:dyDescent="0.25">
      <c r="C27" s="509" t="s">
        <v>269</v>
      </c>
      <c r="D27" s="287" t="s">
        <v>270</v>
      </c>
      <c r="E27" s="285"/>
      <c r="F27" s="286"/>
    </row>
    <row r="28" spans="3:6" outlineLevel="1" x14ac:dyDescent="0.25">
      <c r="C28" s="509"/>
      <c r="D28" s="287" t="s">
        <v>271</v>
      </c>
      <c r="E28" s="285"/>
      <c r="F28" s="286"/>
    </row>
    <row r="29" spans="3:6" outlineLevel="1" x14ac:dyDescent="0.25">
      <c r="C29" s="509" t="s">
        <v>272</v>
      </c>
      <c r="D29" s="287" t="s">
        <v>273</v>
      </c>
      <c r="E29" s="285"/>
      <c r="F29" s="286"/>
    </row>
    <row r="30" spans="3:6" outlineLevel="1" x14ac:dyDescent="0.25">
      <c r="C30" s="509"/>
      <c r="D30" s="285" t="s">
        <v>255</v>
      </c>
      <c r="E30" s="285"/>
      <c r="F30" s="286"/>
    </row>
    <row r="31" spans="3:6" outlineLevel="1" x14ac:dyDescent="0.25">
      <c r="C31" s="509" t="s">
        <v>196</v>
      </c>
      <c r="D31" s="287" t="s">
        <v>274</v>
      </c>
      <c r="E31" s="285"/>
      <c r="F31" s="286"/>
    </row>
    <row r="32" spans="3:6" outlineLevel="1" x14ac:dyDescent="0.25">
      <c r="C32" s="509"/>
      <c r="D32" s="285" t="s">
        <v>255</v>
      </c>
      <c r="E32" s="285"/>
      <c r="F32" s="286"/>
    </row>
    <row r="33" spans="2:6" ht="26.1" customHeight="1" outlineLevel="1" x14ac:dyDescent="0.25">
      <c r="C33" s="492" t="s">
        <v>275</v>
      </c>
      <c r="D33" s="500"/>
      <c r="E33" s="493"/>
      <c r="F33" s="289">
        <f>SUM(F10:F32)</f>
        <v>0</v>
      </c>
    </row>
    <row r="34" spans="2:6" ht="12" customHeight="1" outlineLevel="1" x14ac:dyDescent="0.25">
      <c r="F34" s="28"/>
    </row>
    <row r="35" spans="2:6" ht="12" customHeight="1" outlineLevel="1" x14ac:dyDescent="0.25"/>
    <row r="36" spans="2:6" ht="32.450000000000003" customHeight="1" outlineLevel="1" x14ac:dyDescent="0.25">
      <c r="C36" s="507" t="s">
        <v>276</v>
      </c>
      <c r="D36" s="508"/>
      <c r="E36" s="283" t="s">
        <v>249</v>
      </c>
      <c r="F36" s="283" t="s">
        <v>250</v>
      </c>
    </row>
    <row r="37" spans="2:6" ht="18.95" customHeight="1" outlineLevel="1" x14ac:dyDescent="0.25">
      <c r="C37" s="501" t="s">
        <v>277</v>
      </c>
      <c r="D37" s="502"/>
      <c r="E37" s="288"/>
      <c r="F37" s="290"/>
    </row>
    <row r="38" spans="2:6" ht="18.95" customHeight="1" outlineLevel="1" x14ac:dyDescent="0.25">
      <c r="C38" s="501" t="s">
        <v>277</v>
      </c>
      <c r="D38" s="502"/>
      <c r="E38" s="291"/>
      <c r="F38" s="290"/>
    </row>
    <row r="39" spans="2:6" ht="26.1" customHeight="1" outlineLevel="1" x14ac:dyDescent="0.25">
      <c r="C39" s="492" t="s">
        <v>278</v>
      </c>
      <c r="D39" s="500"/>
      <c r="E39" s="493"/>
      <c r="F39" s="289">
        <f>SUM(F37:F38)</f>
        <v>0</v>
      </c>
    </row>
    <row r="40" spans="2:6" outlineLevel="1" x14ac:dyDescent="0.25">
      <c r="C40" s="292"/>
    </row>
    <row r="41" spans="2:6" ht="26.1" customHeight="1" outlineLevel="1" x14ac:dyDescent="0.25">
      <c r="C41" s="492" t="s">
        <v>279</v>
      </c>
      <c r="D41" s="500"/>
      <c r="E41" s="493"/>
      <c r="F41" s="289">
        <f>F33+F39</f>
        <v>0</v>
      </c>
    </row>
    <row r="42" spans="2:6" outlineLevel="1" x14ac:dyDescent="0.25"/>
    <row r="44" spans="2:6" ht="18.75" x14ac:dyDescent="0.25">
      <c r="B44" s="494" t="s">
        <v>280</v>
      </c>
      <c r="C44" s="494"/>
      <c r="D44" s="494"/>
      <c r="E44" s="494"/>
    </row>
    <row r="45" spans="2:6" outlineLevel="1" x14ac:dyDescent="0.25"/>
    <row r="46" spans="2:6" ht="32.450000000000003" customHeight="1" outlineLevel="1" x14ac:dyDescent="0.25">
      <c r="C46" s="507" t="s">
        <v>248</v>
      </c>
      <c r="D46" s="508"/>
      <c r="E46" s="283" t="s">
        <v>249</v>
      </c>
      <c r="F46" s="283" t="s">
        <v>250</v>
      </c>
    </row>
    <row r="47" spans="2:6" outlineLevel="1" x14ac:dyDescent="0.25">
      <c r="C47" s="503" t="s">
        <v>281</v>
      </c>
      <c r="D47" s="284" t="s">
        <v>282</v>
      </c>
      <c r="E47" s="288"/>
      <c r="F47" s="290"/>
    </row>
    <row r="48" spans="2:6" outlineLevel="1" x14ac:dyDescent="0.25">
      <c r="C48" s="503"/>
      <c r="D48" s="284" t="s">
        <v>263</v>
      </c>
      <c r="E48" s="288"/>
      <c r="F48" s="290"/>
    </row>
    <row r="49" spans="1:8" outlineLevel="1" x14ac:dyDescent="0.25">
      <c r="C49" s="503"/>
      <c r="D49" s="288" t="s">
        <v>255</v>
      </c>
      <c r="E49" s="288"/>
      <c r="F49" s="290"/>
    </row>
    <row r="50" spans="1:8" ht="20.100000000000001" customHeight="1" outlineLevel="1" x14ac:dyDescent="0.25">
      <c r="C50" s="293" t="s">
        <v>283</v>
      </c>
      <c r="D50" s="288" t="s">
        <v>284</v>
      </c>
      <c r="E50" s="288"/>
      <c r="F50" s="290"/>
    </row>
    <row r="51" spans="1:8" ht="26.1" customHeight="1" outlineLevel="1" x14ac:dyDescent="0.25">
      <c r="C51" s="492" t="s">
        <v>275</v>
      </c>
      <c r="D51" s="500"/>
      <c r="E51" s="493"/>
      <c r="F51" s="289">
        <f>SUM(F47:F50)</f>
        <v>0</v>
      </c>
    </row>
    <row r="52" spans="1:8" ht="12" customHeight="1" outlineLevel="1" x14ac:dyDescent="0.25">
      <c r="A52" s="28"/>
      <c r="F52" s="28"/>
    </row>
    <row r="53" spans="1:8" ht="12" customHeight="1" outlineLevel="1" x14ac:dyDescent="0.25">
      <c r="F53" s="28"/>
    </row>
    <row r="54" spans="1:8" ht="32.450000000000003" customHeight="1" outlineLevel="1" x14ac:dyDescent="0.25">
      <c r="C54" s="507" t="s">
        <v>276</v>
      </c>
      <c r="D54" s="508"/>
      <c r="E54" s="283" t="s">
        <v>249</v>
      </c>
      <c r="F54" s="283" t="s">
        <v>250</v>
      </c>
    </row>
    <row r="55" spans="1:8" ht="18.95" customHeight="1" outlineLevel="1" x14ac:dyDescent="0.25">
      <c r="C55" s="501" t="s">
        <v>277</v>
      </c>
      <c r="D55" s="502"/>
      <c r="E55" s="288"/>
      <c r="F55" s="290"/>
    </row>
    <row r="56" spans="1:8" ht="18.95" customHeight="1" outlineLevel="1" x14ac:dyDescent="0.25">
      <c r="C56" s="501" t="s">
        <v>277</v>
      </c>
      <c r="D56" s="502"/>
      <c r="E56" s="288"/>
      <c r="F56" s="290"/>
    </row>
    <row r="57" spans="1:8" ht="26.1" customHeight="1" outlineLevel="1" x14ac:dyDescent="0.25">
      <c r="C57" s="492" t="s">
        <v>285</v>
      </c>
      <c r="D57" s="500"/>
      <c r="E57" s="493"/>
      <c r="F57" s="289">
        <f>SUM(F55:F56)</f>
        <v>0</v>
      </c>
    </row>
    <row r="58" spans="1:8" outlineLevel="1" x14ac:dyDescent="0.25">
      <c r="C58" s="292"/>
    </row>
    <row r="59" spans="1:8" ht="26.1" customHeight="1" outlineLevel="1" x14ac:dyDescent="0.25">
      <c r="C59" s="492" t="s">
        <v>286</v>
      </c>
      <c r="D59" s="500"/>
      <c r="E59" s="493"/>
      <c r="F59" s="289">
        <f>F51+F57</f>
        <v>0</v>
      </c>
    </row>
    <row r="60" spans="1:8" outlineLevel="1" x14ac:dyDescent="0.25"/>
    <row r="62" spans="1:8" ht="18.75" x14ac:dyDescent="0.25">
      <c r="B62" s="494" t="s">
        <v>287</v>
      </c>
      <c r="C62" s="494"/>
    </row>
    <row r="63" spans="1:8" outlineLevel="1" x14ac:dyDescent="0.25"/>
    <row r="64" spans="1:8" ht="32.450000000000003" customHeight="1" outlineLevel="1" x14ac:dyDescent="0.25">
      <c r="C64" s="507" t="s">
        <v>248</v>
      </c>
      <c r="D64" s="508"/>
      <c r="E64" s="283" t="s">
        <v>249</v>
      </c>
      <c r="F64" s="283" t="s">
        <v>288</v>
      </c>
      <c r="G64" s="283" t="s">
        <v>289</v>
      </c>
      <c r="H64" s="283" t="s">
        <v>290</v>
      </c>
    </row>
    <row r="65" spans="3:8" outlineLevel="1" x14ac:dyDescent="0.25">
      <c r="C65" s="503" t="s">
        <v>197</v>
      </c>
      <c r="D65" s="284" t="s">
        <v>291</v>
      </c>
      <c r="E65" s="288"/>
      <c r="F65" s="290"/>
      <c r="G65" s="290"/>
      <c r="H65" s="290"/>
    </row>
    <row r="66" spans="3:8" outlineLevel="1" x14ac:dyDescent="0.25">
      <c r="C66" s="503"/>
      <c r="D66" s="284" t="s">
        <v>292</v>
      </c>
      <c r="E66" s="288"/>
      <c r="F66" s="290"/>
      <c r="G66" s="290"/>
      <c r="H66" s="290"/>
    </row>
    <row r="67" spans="3:8" outlineLevel="1" x14ac:dyDescent="0.25">
      <c r="C67" s="503"/>
      <c r="D67" s="288" t="s">
        <v>255</v>
      </c>
      <c r="E67" s="288"/>
      <c r="F67" s="290"/>
      <c r="G67" s="290"/>
      <c r="H67" s="290"/>
    </row>
    <row r="68" spans="3:8" outlineLevel="1" x14ac:dyDescent="0.25">
      <c r="C68" s="503" t="s">
        <v>293</v>
      </c>
      <c r="D68" s="284" t="s">
        <v>294</v>
      </c>
      <c r="E68" s="288"/>
      <c r="F68" s="290"/>
      <c r="G68" s="290"/>
      <c r="H68" s="290"/>
    </row>
    <row r="69" spans="3:8" outlineLevel="1" x14ac:dyDescent="0.25">
      <c r="C69" s="503"/>
      <c r="D69" s="288" t="s">
        <v>255</v>
      </c>
      <c r="E69" s="288"/>
      <c r="F69" s="290"/>
      <c r="G69" s="290"/>
      <c r="H69" s="290"/>
    </row>
    <row r="70" spans="3:8" outlineLevel="1" x14ac:dyDescent="0.25">
      <c r="C70" s="503" t="s">
        <v>295</v>
      </c>
      <c r="D70" s="284" t="s">
        <v>296</v>
      </c>
      <c r="E70" s="288"/>
      <c r="F70" s="290"/>
      <c r="G70" s="290"/>
      <c r="H70" s="290"/>
    </row>
    <row r="71" spans="3:8" outlineLevel="1" x14ac:dyDescent="0.25">
      <c r="C71" s="503"/>
      <c r="D71" s="284" t="s">
        <v>259</v>
      </c>
      <c r="E71" s="288"/>
      <c r="F71" s="290"/>
      <c r="G71" s="290"/>
      <c r="H71" s="290"/>
    </row>
    <row r="72" spans="3:8" outlineLevel="1" x14ac:dyDescent="0.25">
      <c r="C72" s="503"/>
      <c r="D72" s="288" t="s">
        <v>255</v>
      </c>
      <c r="E72" s="288"/>
      <c r="F72" s="290"/>
      <c r="G72" s="290"/>
      <c r="H72" s="290"/>
    </row>
    <row r="73" spans="3:8" outlineLevel="1" x14ac:dyDescent="0.25">
      <c r="C73" s="503" t="s">
        <v>267</v>
      </c>
      <c r="D73" s="284" t="s">
        <v>268</v>
      </c>
      <c r="E73" s="288"/>
      <c r="F73" s="290"/>
      <c r="G73" s="290"/>
      <c r="H73" s="290"/>
    </row>
    <row r="74" spans="3:8" outlineLevel="1" x14ac:dyDescent="0.25">
      <c r="C74" s="503"/>
      <c r="D74" s="288" t="s">
        <v>255</v>
      </c>
      <c r="E74" s="288"/>
      <c r="F74" s="290"/>
      <c r="G74" s="290"/>
      <c r="H74" s="290"/>
    </row>
    <row r="75" spans="3:8" outlineLevel="1" x14ac:dyDescent="0.25">
      <c r="C75" s="503" t="s">
        <v>269</v>
      </c>
      <c r="D75" s="284" t="s">
        <v>270</v>
      </c>
      <c r="E75" s="288"/>
      <c r="F75" s="290"/>
      <c r="G75" s="290"/>
      <c r="H75" s="290"/>
    </row>
    <row r="76" spans="3:8" outlineLevel="1" x14ac:dyDescent="0.25">
      <c r="C76" s="503"/>
      <c r="D76" s="284" t="s">
        <v>271</v>
      </c>
      <c r="E76" s="288"/>
      <c r="F76" s="290"/>
      <c r="G76" s="290"/>
      <c r="H76" s="290"/>
    </row>
    <row r="77" spans="3:8" outlineLevel="1" x14ac:dyDescent="0.25">
      <c r="C77" s="503" t="s">
        <v>281</v>
      </c>
      <c r="D77" s="284" t="s">
        <v>282</v>
      </c>
      <c r="E77" s="288"/>
      <c r="F77" s="290"/>
      <c r="G77" s="290"/>
      <c r="H77" s="290"/>
    </row>
    <row r="78" spans="3:8" outlineLevel="1" x14ac:dyDescent="0.25">
      <c r="C78" s="503"/>
      <c r="D78" s="288" t="s">
        <v>255</v>
      </c>
      <c r="E78" s="288"/>
      <c r="F78" s="290"/>
      <c r="G78" s="290"/>
      <c r="H78" s="290"/>
    </row>
    <row r="79" spans="3:8" outlineLevel="1" x14ac:dyDescent="0.25">
      <c r="C79" s="503" t="s">
        <v>196</v>
      </c>
      <c r="D79" s="284" t="s">
        <v>274</v>
      </c>
      <c r="E79" s="288"/>
      <c r="F79" s="290"/>
      <c r="G79" s="290"/>
      <c r="H79" s="290"/>
    </row>
    <row r="80" spans="3:8" outlineLevel="1" x14ac:dyDescent="0.25">
      <c r="C80" s="503"/>
      <c r="D80" s="288" t="s">
        <v>255</v>
      </c>
      <c r="E80" s="288"/>
      <c r="F80" s="290"/>
      <c r="G80" s="290"/>
      <c r="H80" s="290"/>
    </row>
    <row r="81" spans="2:9" outlineLevel="1" x14ac:dyDescent="0.25">
      <c r="C81" s="504" t="s">
        <v>297</v>
      </c>
      <c r="D81" s="284" t="s">
        <v>298</v>
      </c>
      <c r="E81" s="288"/>
      <c r="F81" s="290"/>
      <c r="G81" s="290"/>
      <c r="H81" s="290"/>
    </row>
    <row r="82" spans="2:9" outlineLevel="1" x14ac:dyDescent="0.25">
      <c r="C82" s="505"/>
      <c r="D82" s="284" t="s">
        <v>299</v>
      </c>
      <c r="E82" s="288"/>
      <c r="F82" s="290"/>
      <c r="G82" s="290"/>
      <c r="H82" s="290"/>
    </row>
    <row r="83" spans="2:9" outlineLevel="1" x14ac:dyDescent="0.25">
      <c r="C83" s="506"/>
      <c r="D83" s="288" t="s">
        <v>255</v>
      </c>
      <c r="E83" s="288"/>
      <c r="F83" s="290"/>
      <c r="G83" s="290"/>
      <c r="H83" s="290"/>
    </row>
    <row r="84" spans="2:9" ht="26.1" customHeight="1" outlineLevel="1" x14ac:dyDescent="0.25">
      <c r="C84" s="492" t="s">
        <v>275</v>
      </c>
      <c r="D84" s="500"/>
      <c r="E84" s="493"/>
      <c r="F84" s="289">
        <f>SUM(F65:F83)</f>
        <v>0</v>
      </c>
      <c r="G84" s="289">
        <f t="shared" ref="G84:H84" si="0">SUM(G65:G83)</f>
        <v>0</v>
      </c>
      <c r="H84" s="289">
        <f t="shared" si="0"/>
        <v>0</v>
      </c>
      <c r="I84" s="289">
        <f>SUM(F84:H84)</f>
        <v>0</v>
      </c>
    </row>
    <row r="85" spans="2:9" ht="12" customHeight="1" outlineLevel="1" x14ac:dyDescent="0.25">
      <c r="F85" s="28"/>
    </row>
    <row r="86" spans="2:9" ht="12" customHeight="1" outlineLevel="1" x14ac:dyDescent="0.25">
      <c r="F86" s="28"/>
    </row>
    <row r="87" spans="2:9" ht="32.450000000000003" customHeight="1" outlineLevel="1" x14ac:dyDescent="0.25">
      <c r="C87" s="507" t="s">
        <v>276</v>
      </c>
      <c r="D87" s="508"/>
      <c r="E87" s="283" t="s">
        <v>300</v>
      </c>
      <c r="F87" s="283" t="s">
        <v>250</v>
      </c>
    </row>
    <row r="88" spans="2:9" ht="18.95" customHeight="1" outlineLevel="1" x14ac:dyDescent="0.25">
      <c r="C88" s="501" t="s">
        <v>277</v>
      </c>
      <c r="D88" s="502"/>
      <c r="E88" s="288"/>
      <c r="F88" s="290"/>
    </row>
    <row r="89" spans="2:9" ht="18.95" customHeight="1" outlineLevel="1" x14ac:dyDescent="0.25">
      <c r="C89" s="501" t="s">
        <v>277</v>
      </c>
      <c r="D89" s="502"/>
      <c r="E89" s="288"/>
      <c r="F89" s="290"/>
    </row>
    <row r="90" spans="2:9" ht="26.1" customHeight="1" outlineLevel="1" x14ac:dyDescent="0.25">
      <c r="C90" s="492" t="s">
        <v>285</v>
      </c>
      <c r="D90" s="500"/>
      <c r="E90" s="493"/>
      <c r="F90" s="289">
        <f>SUM(F88:F89)</f>
        <v>0</v>
      </c>
    </row>
    <row r="91" spans="2:9" outlineLevel="1" x14ac:dyDescent="0.25">
      <c r="C91" s="292"/>
    </row>
    <row r="92" spans="2:9" ht="26.1" customHeight="1" outlineLevel="1" x14ac:dyDescent="0.25">
      <c r="C92" s="492" t="s">
        <v>301</v>
      </c>
      <c r="D92" s="500"/>
      <c r="E92" s="493"/>
      <c r="F92" s="289">
        <f>F84+F90+G84+H84</f>
        <v>0</v>
      </c>
    </row>
    <row r="93" spans="2:9" outlineLevel="1" x14ac:dyDescent="0.25"/>
    <row r="95" spans="2:9" x14ac:dyDescent="0.25">
      <c r="C95" s="292"/>
    </row>
    <row r="96" spans="2:9" ht="18.75" x14ac:dyDescent="0.25">
      <c r="B96" s="494" t="s">
        <v>302</v>
      </c>
      <c r="C96" s="494"/>
    </row>
    <row r="97" spans="3:6" outlineLevel="1" x14ac:dyDescent="0.25"/>
    <row r="98" spans="3:6" ht="33.6" customHeight="1" outlineLevel="1" x14ac:dyDescent="0.25">
      <c r="C98" s="492" t="s">
        <v>275</v>
      </c>
      <c r="D98" s="500"/>
      <c r="E98" s="493"/>
      <c r="F98" s="289">
        <f>F33+F51+I84</f>
        <v>0</v>
      </c>
    </row>
    <row r="99" spans="3:6" ht="7.5" customHeight="1" outlineLevel="1" x14ac:dyDescent="0.25">
      <c r="C99" s="292"/>
    </row>
    <row r="100" spans="3:6" ht="33.6" customHeight="1" outlineLevel="1" x14ac:dyDescent="0.25">
      <c r="C100" s="492" t="s">
        <v>303</v>
      </c>
      <c r="D100" s="500"/>
      <c r="E100" s="493"/>
      <c r="F100" s="289">
        <f>F41+F59+F92</f>
        <v>0</v>
      </c>
    </row>
  </sheetData>
  <dataConsolidate/>
  <mergeCells count="47">
    <mergeCell ref="C10:C13"/>
    <mergeCell ref="C1:F1"/>
    <mergeCell ref="B3:F3"/>
    <mergeCell ref="B5:C5"/>
    <mergeCell ref="B7:C7"/>
    <mergeCell ref="C9:D9"/>
    <mergeCell ref="C39:E39"/>
    <mergeCell ref="C14:C17"/>
    <mergeCell ref="C18:C22"/>
    <mergeCell ref="C23:C24"/>
    <mergeCell ref="C25:C26"/>
    <mergeCell ref="C27:C28"/>
    <mergeCell ref="C29:C30"/>
    <mergeCell ref="C31:C32"/>
    <mergeCell ref="C33:E33"/>
    <mergeCell ref="C36:D36"/>
    <mergeCell ref="C37:D37"/>
    <mergeCell ref="C38:D38"/>
    <mergeCell ref="C64:D64"/>
    <mergeCell ref="C41:E41"/>
    <mergeCell ref="B44:E44"/>
    <mergeCell ref="C46:D46"/>
    <mergeCell ref="C47:C49"/>
    <mergeCell ref="C51:E51"/>
    <mergeCell ref="C54:D54"/>
    <mergeCell ref="C55:D55"/>
    <mergeCell ref="C56:D56"/>
    <mergeCell ref="C57:E57"/>
    <mergeCell ref="C59:E59"/>
    <mergeCell ref="B62:C62"/>
    <mergeCell ref="C89:D89"/>
    <mergeCell ref="C65:C67"/>
    <mergeCell ref="C68:C69"/>
    <mergeCell ref="C70:C72"/>
    <mergeCell ref="C73:C74"/>
    <mergeCell ref="C75:C76"/>
    <mergeCell ref="C77:C78"/>
    <mergeCell ref="C79:C80"/>
    <mergeCell ref="C81:C83"/>
    <mergeCell ref="C84:E84"/>
    <mergeCell ref="C87:D87"/>
    <mergeCell ref="C88:D88"/>
    <mergeCell ref="C90:E90"/>
    <mergeCell ref="C92:E92"/>
    <mergeCell ref="B96:C96"/>
    <mergeCell ref="C98:E98"/>
    <mergeCell ref="C100:E100"/>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B0DB4-3A9A-4931-B41A-AFEE2B3BF2F0}">
  <sheetPr>
    <tabColor rgb="FFFFD1D1"/>
    <pageSetUpPr fitToPage="1"/>
  </sheetPr>
  <dimension ref="A1:K129"/>
  <sheetViews>
    <sheetView showGridLines="0" showWhiteSpace="0" zoomScale="85" zoomScaleNormal="85" zoomScaleSheetLayoutView="100" workbookViewId="0">
      <pane xSplit="1" ySplit="6" topLeftCell="B7" activePane="bottomRight" state="frozen"/>
      <selection pane="topRight" activeCell="B1" sqref="B1"/>
      <selection pane="bottomLeft" activeCell="A7" sqref="A7"/>
      <selection pane="bottomRight" activeCell="B7" sqref="B7"/>
    </sheetView>
  </sheetViews>
  <sheetFormatPr baseColWidth="10" defaultRowHeight="12.75" x14ac:dyDescent="0.2"/>
  <cols>
    <col min="1" max="1" width="2.42578125" style="35" customWidth="1"/>
    <col min="2" max="2" width="3.85546875" style="298" customWidth="1"/>
    <col min="3" max="3" width="41" style="299" customWidth="1"/>
    <col min="4" max="4" width="15.42578125" style="469" customWidth="1"/>
    <col min="5" max="5" width="14.7109375" style="469" customWidth="1"/>
    <col min="6" max="6" width="5.5703125" style="298" customWidth="1"/>
    <col min="7" max="7" width="29.28515625" style="470" customWidth="1"/>
    <col min="8" max="8" width="17" style="471" customWidth="1"/>
    <col min="9" max="9" width="16" style="298" customWidth="1"/>
    <col min="10" max="16384" width="11.42578125" style="35"/>
  </cols>
  <sheetData>
    <row r="1" spans="1:10" ht="13.5" thickBot="1" x14ac:dyDescent="0.25">
      <c r="D1" s="298"/>
      <c r="E1" s="298"/>
      <c r="G1" s="299"/>
      <c r="H1" s="298"/>
    </row>
    <row r="2" spans="1:10" s="298" customFormat="1" ht="18.75" customHeight="1" x14ac:dyDescent="0.2">
      <c r="A2" s="35"/>
      <c r="B2" s="537" t="s">
        <v>323</v>
      </c>
      <c r="C2" s="538"/>
      <c r="D2" s="539"/>
      <c r="E2" s="539"/>
      <c r="F2" s="539"/>
      <c r="G2" s="540"/>
    </row>
    <row r="3" spans="1:10" s="298" customFormat="1" ht="18.75" customHeight="1" x14ac:dyDescent="0.2">
      <c r="A3" s="35"/>
      <c r="B3" s="541" t="s">
        <v>324</v>
      </c>
      <c r="C3" s="542"/>
      <c r="D3" s="543"/>
      <c r="E3" s="543"/>
      <c r="F3" s="543"/>
      <c r="G3" s="544"/>
    </row>
    <row r="4" spans="1:10" ht="18.75" customHeight="1" thickBot="1" x14ac:dyDescent="0.25">
      <c r="B4" s="545" t="s">
        <v>325</v>
      </c>
      <c r="C4" s="546"/>
      <c r="D4" s="547"/>
      <c r="E4" s="547"/>
      <c r="F4" s="547"/>
      <c r="G4" s="548"/>
      <c r="H4" s="298"/>
      <c r="J4" s="298"/>
    </row>
    <row r="5" spans="1:10" ht="13.5" customHeight="1" x14ac:dyDescent="0.2">
      <c r="A5" s="298"/>
      <c r="C5" s="298"/>
      <c r="D5" s="298"/>
      <c r="E5" s="298"/>
      <c r="G5" s="298"/>
      <c r="H5" s="298"/>
      <c r="J5" s="298"/>
    </row>
    <row r="6" spans="1:10" s="300" customFormat="1" ht="34.5" customHeight="1" x14ac:dyDescent="0.2">
      <c r="B6" s="529" t="s">
        <v>326</v>
      </c>
      <c r="C6" s="529"/>
      <c r="D6" s="529"/>
      <c r="E6" s="529"/>
      <c r="F6" s="529"/>
      <c r="G6" s="529"/>
      <c r="H6" s="529"/>
      <c r="I6" s="529"/>
    </row>
    <row r="7" spans="1:10" ht="5.25" customHeight="1" x14ac:dyDescent="0.2">
      <c r="D7" s="298"/>
      <c r="E7" s="298"/>
      <c r="G7" s="299"/>
      <c r="H7" s="298"/>
    </row>
    <row r="8" spans="1:10" ht="24" customHeight="1" x14ac:dyDescent="0.2">
      <c r="B8" s="530" t="s">
        <v>327</v>
      </c>
      <c r="C8" s="530"/>
      <c r="D8" s="530"/>
      <c r="E8" s="530"/>
      <c r="F8" s="530"/>
      <c r="G8" s="530"/>
      <c r="H8" s="530"/>
      <c r="I8" s="530"/>
    </row>
    <row r="9" spans="1:10" x14ac:dyDescent="0.2">
      <c r="B9" s="531" t="s">
        <v>328</v>
      </c>
      <c r="C9" s="531"/>
      <c r="D9" s="531"/>
      <c r="E9" s="531"/>
      <c r="F9" s="531"/>
      <c r="G9" s="531"/>
      <c r="H9" s="531"/>
      <c r="I9" s="531"/>
    </row>
    <row r="10" spans="1:10" x14ac:dyDescent="0.2">
      <c r="B10" s="301"/>
      <c r="C10" s="301"/>
      <c r="D10" s="301"/>
      <c r="E10" s="301"/>
      <c r="F10" s="301"/>
      <c r="G10" s="301"/>
      <c r="H10" s="301"/>
      <c r="I10" s="301"/>
    </row>
    <row r="11" spans="1:10" s="298" customFormat="1" ht="15.75" customHeight="1" x14ac:dyDescent="0.2">
      <c r="A11" s="35"/>
      <c r="B11" s="532" t="s">
        <v>329</v>
      </c>
      <c r="C11" s="532"/>
      <c r="D11" s="532"/>
      <c r="E11" s="532"/>
      <c r="F11" s="532"/>
      <c r="G11" s="532"/>
      <c r="H11" s="532"/>
      <c r="I11" s="532"/>
    </row>
    <row r="12" spans="1:10" ht="54" customHeight="1" thickBot="1" x14ac:dyDescent="0.25">
      <c r="B12" s="533" t="s">
        <v>330</v>
      </c>
      <c r="C12" s="533"/>
      <c r="D12" s="533"/>
      <c r="E12" s="533"/>
      <c r="F12" s="533"/>
      <c r="G12" s="533"/>
      <c r="H12" s="533"/>
      <c r="I12" s="533"/>
    </row>
    <row r="13" spans="1:10" ht="19.5" customHeight="1" thickBot="1" x14ac:dyDescent="0.25">
      <c r="B13" s="534" t="s">
        <v>331</v>
      </c>
      <c r="C13" s="534"/>
      <c r="D13" s="534"/>
      <c r="E13" s="534"/>
      <c r="F13" s="302"/>
      <c r="G13" s="535" t="s">
        <v>332</v>
      </c>
      <c r="H13" s="536"/>
      <c r="I13" s="536"/>
    </row>
    <row r="14" spans="1:10" ht="39" thickBot="1" x14ac:dyDescent="0.25">
      <c r="B14" s="303"/>
      <c r="C14" s="304" t="s">
        <v>333</v>
      </c>
      <c r="D14" s="305" t="s">
        <v>334</v>
      </c>
      <c r="E14" s="306" t="s">
        <v>248</v>
      </c>
      <c r="F14" s="307"/>
      <c r="G14" s="308" t="s">
        <v>335</v>
      </c>
      <c r="H14" s="309" t="s">
        <v>336</v>
      </c>
      <c r="I14" s="310" t="s">
        <v>337</v>
      </c>
    </row>
    <row r="15" spans="1:10" ht="12.75" customHeight="1" x14ac:dyDescent="0.2">
      <c r="B15" s="311">
        <v>60</v>
      </c>
      <c r="C15" s="312" t="s">
        <v>338</v>
      </c>
      <c r="D15" s="313">
        <f>SUM(D16:D19)</f>
        <v>0</v>
      </c>
      <c r="E15" s="314">
        <f>SUM(E16:E19)</f>
        <v>0</v>
      </c>
      <c r="F15" s="302"/>
      <c r="G15" s="315" t="s">
        <v>339</v>
      </c>
      <c r="H15" s="316">
        <f>SUM(H16:H18)</f>
        <v>0</v>
      </c>
      <c r="I15" s="317"/>
    </row>
    <row r="16" spans="1:10" ht="25.5" x14ac:dyDescent="0.2">
      <c r="B16" s="318"/>
      <c r="C16" s="319" t="s">
        <v>177</v>
      </c>
      <c r="D16" s="320"/>
      <c r="E16" s="321"/>
      <c r="F16" s="302"/>
      <c r="G16" s="322" t="s">
        <v>340</v>
      </c>
      <c r="H16" s="323"/>
      <c r="I16" s="324"/>
    </row>
    <row r="17" spans="2:11" x14ac:dyDescent="0.2">
      <c r="B17" s="318"/>
      <c r="C17" s="325" t="s">
        <v>177</v>
      </c>
      <c r="D17" s="326"/>
      <c r="E17" s="327"/>
      <c r="F17" s="302"/>
      <c r="G17" s="328" t="s">
        <v>177</v>
      </c>
      <c r="H17" s="329"/>
      <c r="I17" s="324"/>
    </row>
    <row r="18" spans="2:11" ht="12.75" customHeight="1" x14ac:dyDescent="0.2">
      <c r="B18" s="318"/>
      <c r="C18" s="330" t="s">
        <v>177</v>
      </c>
      <c r="D18" s="331"/>
      <c r="E18" s="332"/>
      <c r="F18" s="302"/>
      <c r="G18" s="333" t="s">
        <v>177</v>
      </c>
      <c r="H18" s="334"/>
      <c r="I18" s="335"/>
    </row>
    <row r="19" spans="2:11" ht="12.75" customHeight="1" x14ac:dyDescent="0.2">
      <c r="B19" s="318"/>
      <c r="C19" s="336" t="s">
        <v>177</v>
      </c>
      <c r="D19" s="337"/>
      <c r="E19" s="338"/>
      <c r="F19" s="302"/>
      <c r="G19" s="339" t="s">
        <v>341</v>
      </c>
      <c r="H19" s="340">
        <f>SUM(H20:H22)</f>
        <v>0</v>
      </c>
      <c r="I19" s="341"/>
    </row>
    <row r="20" spans="2:11" ht="12.75" customHeight="1" x14ac:dyDescent="0.2">
      <c r="B20" s="342">
        <v>61</v>
      </c>
      <c r="C20" s="343" t="s">
        <v>342</v>
      </c>
      <c r="D20" s="344">
        <f>SUM(D21:D26)</f>
        <v>0</v>
      </c>
      <c r="E20" s="345">
        <f>SUM(E21:E26)</f>
        <v>0</v>
      </c>
      <c r="F20" s="302"/>
      <c r="G20" s="346" t="s">
        <v>177</v>
      </c>
      <c r="H20" s="347"/>
      <c r="I20" s="341"/>
    </row>
    <row r="21" spans="2:11" ht="12.75" customHeight="1" x14ac:dyDescent="0.2">
      <c r="B21" s="318"/>
      <c r="C21" s="348" t="s">
        <v>177</v>
      </c>
      <c r="D21" s="349"/>
      <c r="E21" s="350"/>
      <c r="F21" s="302"/>
      <c r="G21" s="351" t="s">
        <v>177</v>
      </c>
      <c r="H21" s="352"/>
      <c r="I21" s="353"/>
    </row>
    <row r="22" spans="2:11" ht="12.75" customHeight="1" x14ac:dyDescent="0.2">
      <c r="B22" s="318"/>
      <c r="C22" s="354" t="s">
        <v>177</v>
      </c>
      <c r="D22" s="355"/>
      <c r="E22" s="356"/>
      <c r="F22" s="302"/>
      <c r="G22" s="357" t="s">
        <v>177</v>
      </c>
      <c r="H22" s="352"/>
      <c r="I22" s="358"/>
    </row>
    <row r="23" spans="2:11" ht="12.75" customHeight="1" x14ac:dyDescent="0.2">
      <c r="B23" s="318"/>
      <c r="C23" s="359" t="s">
        <v>177</v>
      </c>
      <c r="D23" s="360"/>
      <c r="E23" s="361"/>
      <c r="F23" s="302"/>
      <c r="G23" s="362" t="s">
        <v>343</v>
      </c>
      <c r="H23" s="363">
        <f>SUM(H24:H27)</f>
        <v>0</v>
      </c>
      <c r="I23" s="364"/>
    </row>
    <row r="24" spans="2:11" ht="12.75" customHeight="1" x14ac:dyDescent="0.2">
      <c r="B24" s="318"/>
      <c r="C24" s="365" t="s">
        <v>177</v>
      </c>
      <c r="D24" s="366"/>
      <c r="E24" s="367"/>
      <c r="F24" s="302"/>
      <c r="G24" s="368" t="s">
        <v>178</v>
      </c>
      <c r="H24" s="352"/>
      <c r="I24" s="369"/>
    </row>
    <row r="25" spans="2:11" ht="12.75" customHeight="1" x14ac:dyDescent="0.2">
      <c r="B25" s="318"/>
      <c r="C25" s="370" t="s">
        <v>177</v>
      </c>
      <c r="D25" s="371"/>
      <c r="E25" s="372"/>
      <c r="F25" s="302"/>
      <c r="G25" s="373" t="s">
        <v>344</v>
      </c>
      <c r="H25" s="352"/>
      <c r="I25" s="374"/>
    </row>
    <row r="26" spans="2:11" ht="12.75" customHeight="1" x14ac:dyDescent="0.2">
      <c r="B26" s="318"/>
      <c r="C26" s="375" t="s">
        <v>177</v>
      </c>
      <c r="D26" s="376"/>
      <c r="E26" s="377"/>
      <c r="F26" s="302"/>
      <c r="G26" s="378" t="s">
        <v>345</v>
      </c>
      <c r="H26" s="352"/>
      <c r="I26" s="379"/>
    </row>
    <row r="27" spans="2:11" x14ac:dyDescent="0.2">
      <c r="B27" s="380">
        <v>62</v>
      </c>
      <c r="C27" s="381" t="s">
        <v>346</v>
      </c>
      <c r="D27" s="382">
        <f>SUM(D28:D34)</f>
        <v>0</v>
      </c>
      <c r="E27" s="383">
        <f>SUM(E28:E34)</f>
        <v>0</v>
      </c>
      <c r="F27" s="302"/>
      <c r="G27" s="378" t="s">
        <v>347</v>
      </c>
      <c r="H27" s="352"/>
      <c r="I27" s="379"/>
    </row>
    <row r="28" spans="2:11" ht="12.75" customHeight="1" x14ac:dyDescent="0.2">
      <c r="B28" s="318"/>
      <c r="C28" s="384" t="s">
        <v>177</v>
      </c>
      <c r="D28" s="385"/>
      <c r="E28" s="386"/>
      <c r="F28" s="302"/>
      <c r="G28" s="387" t="s">
        <v>348</v>
      </c>
      <c r="H28" s="388">
        <f>SUM(H29:H31)</f>
        <v>0</v>
      </c>
      <c r="I28" s="389"/>
    </row>
    <row r="29" spans="2:11" ht="12.75" customHeight="1" x14ac:dyDescent="0.2">
      <c r="B29" s="318"/>
      <c r="C29" s="390" t="s">
        <v>177</v>
      </c>
      <c r="D29" s="391"/>
      <c r="E29" s="392"/>
      <c r="F29" s="302"/>
      <c r="G29" s="393" t="s">
        <v>177</v>
      </c>
      <c r="H29" s="394"/>
      <c r="I29" s="395"/>
    </row>
    <row r="30" spans="2:11" ht="12.75" customHeight="1" x14ac:dyDescent="0.2">
      <c r="B30" s="318"/>
      <c r="C30" s="396" t="s">
        <v>177</v>
      </c>
      <c r="D30" s="397"/>
      <c r="E30" s="398"/>
      <c r="F30" s="302"/>
      <c r="G30" s="399" t="s">
        <v>177</v>
      </c>
      <c r="H30" s="394"/>
      <c r="I30" s="400"/>
    </row>
    <row r="31" spans="2:11" ht="12.75" customHeight="1" x14ac:dyDescent="0.2">
      <c r="B31" s="318"/>
      <c r="C31" s="401" t="s">
        <v>177</v>
      </c>
      <c r="D31" s="402"/>
      <c r="E31" s="403"/>
      <c r="F31" s="302"/>
      <c r="G31" s="404" t="s">
        <v>177</v>
      </c>
      <c r="H31" s="394"/>
      <c r="I31" s="405"/>
      <c r="K31" s="406"/>
    </row>
    <row r="32" spans="2:11" ht="12.75" customHeight="1" x14ac:dyDescent="0.2">
      <c r="B32" s="318"/>
      <c r="C32" s="407" t="s">
        <v>177</v>
      </c>
      <c r="D32" s="408"/>
      <c r="E32" s="409"/>
      <c r="F32" s="410"/>
      <c r="G32" s="411" t="s">
        <v>349</v>
      </c>
      <c r="H32" s="388">
        <f>SUM(H33:H35)</f>
        <v>0</v>
      </c>
      <c r="I32" s="412"/>
    </row>
    <row r="33" spans="2:9" ht="12.75" customHeight="1" x14ac:dyDescent="0.2">
      <c r="B33" s="318"/>
      <c r="C33" s="413" t="s">
        <v>177</v>
      </c>
      <c r="D33" s="414"/>
      <c r="E33" s="415"/>
      <c r="F33" s="302"/>
      <c r="G33" s="416" t="s">
        <v>177</v>
      </c>
      <c r="H33" s="394"/>
      <c r="I33" s="417"/>
    </row>
    <row r="34" spans="2:9" ht="12.75" customHeight="1" x14ac:dyDescent="0.2">
      <c r="B34" s="318"/>
      <c r="C34" s="418" t="s">
        <v>177</v>
      </c>
      <c r="D34" s="419"/>
      <c r="E34" s="420"/>
      <c r="F34" s="302"/>
      <c r="G34" s="421" t="s">
        <v>177</v>
      </c>
      <c r="H34" s="394"/>
      <c r="I34" s="422"/>
    </row>
    <row r="35" spans="2:9" ht="12.75" customHeight="1" x14ac:dyDescent="0.2">
      <c r="B35" s="423">
        <v>63</v>
      </c>
      <c r="C35" s="424" t="s">
        <v>350</v>
      </c>
      <c r="D35" s="425">
        <f>SUM(D36:D36)</f>
        <v>0</v>
      </c>
      <c r="E35" s="426">
        <f>SUM(E36:E36)</f>
        <v>0</v>
      </c>
      <c r="F35" s="302"/>
      <c r="G35" s="421" t="s">
        <v>177</v>
      </c>
      <c r="H35" s="394"/>
      <c r="I35" s="422"/>
    </row>
    <row r="36" spans="2:9" ht="12.75" customHeight="1" x14ac:dyDescent="0.2">
      <c r="B36" s="427"/>
      <c r="C36" s="428" t="s">
        <v>177</v>
      </c>
      <c r="D36" s="419"/>
      <c r="E36" s="420"/>
      <c r="F36" s="302"/>
      <c r="G36" s="429" t="s">
        <v>351</v>
      </c>
      <c r="H36" s="388">
        <f>SUM(H37:H39)</f>
        <v>0</v>
      </c>
      <c r="I36" s="422"/>
    </row>
    <row r="37" spans="2:9" ht="12.75" customHeight="1" x14ac:dyDescent="0.2">
      <c r="B37" s="427"/>
      <c r="C37" s="428" t="s">
        <v>177</v>
      </c>
      <c r="D37" s="419"/>
      <c r="E37" s="420"/>
      <c r="F37" s="302"/>
      <c r="G37" s="421" t="s">
        <v>177</v>
      </c>
      <c r="H37" s="394"/>
      <c r="I37" s="422"/>
    </row>
    <row r="38" spans="2:9" ht="12.75" customHeight="1" x14ac:dyDescent="0.2">
      <c r="B38" s="427"/>
      <c r="C38" s="428" t="s">
        <v>177</v>
      </c>
      <c r="D38" s="419"/>
      <c r="E38" s="420"/>
      <c r="F38" s="302"/>
      <c r="G38" s="421" t="s">
        <v>177</v>
      </c>
      <c r="H38" s="394"/>
      <c r="I38" s="422"/>
    </row>
    <row r="39" spans="2:9" ht="12.75" customHeight="1" x14ac:dyDescent="0.2">
      <c r="B39" s="427"/>
      <c r="C39" s="428" t="s">
        <v>177</v>
      </c>
      <c r="D39" s="419"/>
      <c r="E39" s="420"/>
      <c r="F39" s="302"/>
      <c r="G39" s="421" t="s">
        <v>177</v>
      </c>
      <c r="H39" s="394"/>
      <c r="I39" s="422"/>
    </row>
    <row r="40" spans="2:9" ht="12.75" customHeight="1" x14ac:dyDescent="0.2">
      <c r="B40" s="427"/>
      <c r="C40" s="428" t="s">
        <v>177</v>
      </c>
      <c r="D40" s="419"/>
      <c r="E40" s="420"/>
      <c r="F40" s="302"/>
      <c r="G40" s="430" t="s">
        <v>352</v>
      </c>
      <c r="H40" s="388">
        <f>SUM(H41:H43)</f>
        <v>0</v>
      </c>
      <c r="I40" s="422"/>
    </row>
    <row r="41" spans="2:9" ht="12.75" customHeight="1" x14ac:dyDescent="0.2">
      <c r="B41" s="423"/>
      <c r="C41" s="424" t="s">
        <v>353</v>
      </c>
      <c r="D41" s="431">
        <f>D42+D43+D44+D45+D46</f>
        <v>0</v>
      </c>
      <c r="E41" s="432">
        <f>E42+E43+E44+E45+E46</f>
        <v>0</v>
      </c>
      <c r="F41" s="302"/>
      <c r="G41" s="421" t="s">
        <v>354</v>
      </c>
      <c r="H41" s="394"/>
      <c r="I41" s="422"/>
    </row>
    <row r="42" spans="2:9" ht="12.75" customHeight="1" x14ac:dyDescent="0.2">
      <c r="B42" s="433"/>
      <c r="C42" s="434" t="s">
        <v>177</v>
      </c>
      <c r="D42" s="435"/>
      <c r="E42" s="420"/>
      <c r="F42" s="302"/>
      <c r="G42" s="421" t="s">
        <v>177</v>
      </c>
      <c r="H42" s="394"/>
      <c r="I42" s="422"/>
    </row>
    <row r="43" spans="2:9" ht="12.75" customHeight="1" x14ac:dyDescent="0.2">
      <c r="B43" s="436"/>
      <c r="C43" s="434" t="s">
        <v>177</v>
      </c>
      <c r="D43" s="437"/>
      <c r="E43" s="438"/>
      <c r="F43" s="302"/>
      <c r="G43" s="439" t="s">
        <v>177</v>
      </c>
      <c r="H43" s="394"/>
      <c r="I43" s="440"/>
    </row>
    <row r="44" spans="2:9" ht="12.75" customHeight="1" x14ac:dyDescent="0.2">
      <c r="B44" s="441"/>
      <c r="C44" s="434" t="s">
        <v>177</v>
      </c>
      <c r="D44" s="442"/>
      <c r="E44" s="443"/>
      <c r="F44" s="302"/>
      <c r="G44" s="444" t="s">
        <v>355</v>
      </c>
      <c r="H44" s="388">
        <f>SUM(H45:H46)</f>
        <v>0</v>
      </c>
      <c r="I44" s="445"/>
    </row>
    <row r="45" spans="2:9" x14ac:dyDescent="0.2">
      <c r="B45" s="446"/>
      <c r="C45" s="434" t="s">
        <v>177</v>
      </c>
      <c r="D45" s="447"/>
      <c r="E45" s="448"/>
      <c r="F45" s="302"/>
      <c r="G45" s="449" t="s">
        <v>354</v>
      </c>
      <c r="H45" s="394"/>
      <c r="I45" s="445"/>
    </row>
    <row r="46" spans="2:9" ht="12.75" customHeight="1" thickBot="1" x14ac:dyDescent="0.25">
      <c r="B46" s="450"/>
      <c r="C46" s="451" t="s">
        <v>177</v>
      </c>
      <c r="D46" s="452"/>
      <c r="E46" s="453"/>
      <c r="F46" s="410"/>
      <c r="G46" s="454" t="s">
        <v>177</v>
      </c>
      <c r="H46" s="455"/>
      <c r="I46" s="445"/>
    </row>
    <row r="47" spans="2:9" ht="13.5" customHeight="1" x14ac:dyDescent="0.2">
      <c r="B47" s="456"/>
      <c r="C47" s="457"/>
      <c r="D47" s="458"/>
      <c r="E47" s="458"/>
      <c r="F47" s="459"/>
      <c r="G47" s="460" t="s">
        <v>356</v>
      </c>
      <c r="H47" s="388">
        <f>SUM(H48:H49)</f>
        <v>0</v>
      </c>
      <c r="I47" s="445"/>
    </row>
    <row r="48" spans="2:9" ht="12.75" customHeight="1" x14ac:dyDescent="0.2">
      <c r="B48" s="456"/>
      <c r="C48" s="457"/>
      <c r="D48" s="458"/>
      <c r="E48" s="458"/>
      <c r="F48" s="459"/>
      <c r="G48" s="461" t="s">
        <v>357</v>
      </c>
      <c r="H48" s="462"/>
      <c r="I48" s="440"/>
    </row>
    <row r="49" spans="2:9" ht="12.75" customHeight="1" thickBot="1" x14ac:dyDescent="0.25">
      <c r="B49" s="456"/>
      <c r="C49" s="457"/>
      <c r="D49" s="458"/>
      <c r="E49" s="458"/>
      <c r="G49" s="463" t="s">
        <v>358</v>
      </c>
      <c r="H49" s="464"/>
      <c r="I49" s="440"/>
    </row>
    <row r="50" spans="2:9" x14ac:dyDescent="0.2">
      <c r="B50" s="517"/>
      <c r="C50" s="519" t="s">
        <v>359</v>
      </c>
      <c r="D50" s="521">
        <f>D15+D20+D27+D35+D41</f>
        <v>0</v>
      </c>
      <c r="E50" s="523">
        <f>+E15+E20+E27+E35+E41</f>
        <v>0</v>
      </c>
      <c r="G50" s="525" t="s">
        <v>360</v>
      </c>
      <c r="H50" s="527">
        <f>+H15+H19+H23+H28+H32+H36+H40+H44+H47</f>
        <v>0</v>
      </c>
      <c r="I50" s="465"/>
    </row>
    <row r="51" spans="2:9" ht="13.5" thickBot="1" x14ac:dyDescent="0.25">
      <c r="B51" s="518"/>
      <c r="C51" s="520"/>
      <c r="D51" s="522"/>
      <c r="E51" s="524"/>
      <c r="G51" s="526"/>
      <c r="H51" s="528"/>
    </row>
    <row r="52" spans="2:9" x14ac:dyDescent="0.2">
      <c r="D52" s="298"/>
      <c r="E52" s="298"/>
      <c r="G52" s="299"/>
      <c r="H52" s="298"/>
    </row>
    <row r="53" spans="2:9" x14ac:dyDescent="0.2">
      <c r="D53" s="298"/>
      <c r="E53" s="298"/>
      <c r="G53" s="299"/>
      <c r="H53" s="298"/>
    </row>
    <row r="54" spans="2:9" s="467" customFormat="1" ht="29.25" customHeight="1" x14ac:dyDescent="0.25">
      <c r="B54" s="510" t="s">
        <v>361</v>
      </c>
      <c r="C54" s="511"/>
      <c r="D54" s="512"/>
      <c r="E54" s="302"/>
      <c r="F54" s="302"/>
      <c r="G54" s="466"/>
      <c r="H54" s="302"/>
      <c r="I54" s="302"/>
    </row>
    <row r="55" spans="2:9" x14ac:dyDescent="0.2">
      <c r="B55" s="468"/>
      <c r="C55" s="457"/>
      <c r="D55" s="468"/>
      <c r="E55" s="298"/>
      <c r="G55" s="299"/>
      <c r="H55" s="298"/>
    </row>
    <row r="56" spans="2:9" s="467" customFormat="1" ht="29.25" customHeight="1" x14ac:dyDescent="0.25">
      <c r="B56" s="513" t="s">
        <v>362</v>
      </c>
      <c r="C56" s="511"/>
      <c r="D56" s="512"/>
      <c r="E56" s="302"/>
      <c r="F56" s="302"/>
      <c r="G56" s="466"/>
      <c r="H56" s="302"/>
      <c r="I56" s="302"/>
    </row>
    <row r="57" spans="2:9" x14ac:dyDescent="0.2">
      <c r="B57" s="468"/>
      <c r="C57" s="457"/>
      <c r="D57" s="468"/>
      <c r="E57" s="298"/>
      <c r="G57" s="299"/>
      <c r="H57" s="298"/>
    </row>
    <row r="58" spans="2:9" ht="90" customHeight="1" x14ac:dyDescent="0.2">
      <c r="B58" s="514" t="s">
        <v>363</v>
      </c>
      <c r="C58" s="515"/>
      <c r="D58" s="516"/>
      <c r="E58" s="298"/>
      <c r="G58" s="299"/>
      <c r="H58" s="298"/>
    </row>
    <row r="59" spans="2:9" x14ac:dyDescent="0.2">
      <c r="D59" s="298"/>
      <c r="E59" s="298"/>
      <c r="G59" s="299"/>
      <c r="H59" s="298"/>
    </row>
    <row r="60" spans="2:9" x14ac:dyDescent="0.2">
      <c r="D60" s="298"/>
      <c r="E60" s="298"/>
      <c r="G60" s="299"/>
      <c r="H60" s="298"/>
    </row>
    <row r="61" spans="2:9" x14ac:dyDescent="0.2">
      <c r="D61" s="298"/>
      <c r="E61" s="298"/>
      <c r="G61" s="299"/>
      <c r="H61" s="298"/>
    </row>
    <row r="62" spans="2:9" x14ac:dyDescent="0.2">
      <c r="D62" s="298"/>
      <c r="E62" s="298"/>
      <c r="G62" s="299"/>
      <c r="H62" s="298"/>
    </row>
    <row r="63" spans="2:9" x14ac:dyDescent="0.2">
      <c r="D63" s="298"/>
      <c r="E63" s="298"/>
      <c r="G63" s="299"/>
      <c r="H63" s="298"/>
    </row>
    <row r="64" spans="2:9" x14ac:dyDescent="0.2">
      <c r="D64" s="298"/>
      <c r="E64" s="298"/>
      <c r="G64" s="299"/>
      <c r="H64" s="298"/>
    </row>
    <row r="65" spans="4:8" x14ac:dyDescent="0.2">
      <c r="D65" s="298"/>
      <c r="E65" s="298"/>
      <c r="G65" s="299"/>
      <c r="H65" s="298"/>
    </row>
    <row r="66" spans="4:8" x14ac:dyDescent="0.2">
      <c r="D66" s="298"/>
      <c r="E66" s="298"/>
      <c r="G66" s="299"/>
      <c r="H66" s="298"/>
    </row>
    <row r="67" spans="4:8" x14ac:dyDescent="0.2">
      <c r="D67" s="298"/>
      <c r="E67" s="298"/>
      <c r="G67" s="299"/>
      <c r="H67" s="298"/>
    </row>
    <row r="68" spans="4:8" x14ac:dyDescent="0.2">
      <c r="D68" s="298"/>
      <c r="E68" s="298"/>
      <c r="G68" s="299"/>
      <c r="H68" s="298"/>
    </row>
    <row r="69" spans="4:8" x14ac:dyDescent="0.2">
      <c r="D69" s="298"/>
      <c r="E69" s="298"/>
      <c r="G69" s="299"/>
      <c r="H69" s="298"/>
    </row>
    <row r="70" spans="4:8" x14ac:dyDescent="0.2">
      <c r="D70" s="298"/>
      <c r="E70" s="298"/>
      <c r="G70" s="299"/>
      <c r="H70" s="298"/>
    </row>
    <row r="71" spans="4:8" x14ac:dyDescent="0.2">
      <c r="D71" s="298"/>
      <c r="E71" s="298"/>
      <c r="G71" s="299"/>
      <c r="H71" s="298"/>
    </row>
    <row r="72" spans="4:8" x14ac:dyDescent="0.2">
      <c r="D72" s="298"/>
      <c r="E72" s="298"/>
      <c r="G72" s="299"/>
      <c r="H72" s="298"/>
    </row>
    <row r="73" spans="4:8" x14ac:dyDescent="0.2">
      <c r="D73" s="298"/>
      <c r="E73" s="298"/>
      <c r="G73" s="299"/>
      <c r="H73" s="298"/>
    </row>
    <row r="74" spans="4:8" x14ac:dyDescent="0.2">
      <c r="D74" s="298"/>
      <c r="E74" s="298"/>
      <c r="G74" s="299"/>
      <c r="H74" s="298"/>
    </row>
    <row r="75" spans="4:8" x14ac:dyDescent="0.2">
      <c r="D75" s="298"/>
      <c r="E75" s="298"/>
      <c r="G75" s="299"/>
      <c r="H75" s="298"/>
    </row>
    <row r="76" spans="4:8" x14ac:dyDescent="0.2">
      <c r="D76" s="298"/>
      <c r="E76" s="298"/>
      <c r="G76" s="299"/>
      <c r="H76" s="298"/>
    </row>
    <row r="77" spans="4:8" x14ac:dyDescent="0.2">
      <c r="D77" s="298"/>
      <c r="E77" s="298"/>
      <c r="G77" s="299"/>
      <c r="H77" s="298"/>
    </row>
    <row r="78" spans="4:8" x14ac:dyDescent="0.2">
      <c r="D78" s="298"/>
      <c r="E78" s="298"/>
      <c r="G78" s="299"/>
      <c r="H78" s="298"/>
    </row>
    <row r="79" spans="4:8" x14ac:dyDescent="0.2">
      <c r="D79" s="298"/>
      <c r="E79" s="298"/>
      <c r="G79" s="299"/>
      <c r="H79" s="298"/>
    </row>
    <row r="80" spans="4:8" x14ac:dyDescent="0.2">
      <c r="D80" s="298"/>
      <c r="E80" s="298"/>
      <c r="G80" s="299"/>
      <c r="H80" s="298"/>
    </row>
    <row r="81" spans="4:8" x14ac:dyDescent="0.2">
      <c r="D81" s="298"/>
      <c r="E81" s="298"/>
      <c r="G81" s="299"/>
      <c r="H81" s="298"/>
    </row>
    <row r="82" spans="4:8" x14ac:dyDescent="0.2">
      <c r="D82" s="298"/>
      <c r="E82" s="298"/>
      <c r="G82" s="299"/>
      <c r="H82" s="298"/>
    </row>
    <row r="83" spans="4:8" x14ac:dyDescent="0.2">
      <c r="D83" s="298"/>
      <c r="E83" s="298"/>
      <c r="G83" s="299"/>
      <c r="H83" s="298"/>
    </row>
    <row r="84" spans="4:8" x14ac:dyDescent="0.2">
      <c r="D84" s="298"/>
      <c r="E84" s="298"/>
      <c r="G84" s="299"/>
      <c r="H84" s="298"/>
    </row>
    <row r="85" spans="4:8" x14ac:dyDescent="0.2">
      <c r="D85" s="298"/>
      <c r="E85" s="298"/>
      <c r="G85" s="299"/>
      <c r="H85" s="298"/>
    </row>
    <row r="86" spans="4:8" x14ac:dyDescent="0.2">
      <c r="D86" s="298"/>
      <c r="E86" s="298"/>
      <c r="G86" s="299"/>
      <c r="H86" s="298"/>
    </row>
    <row r="87" spans="4:8" x14ac:dyDescent="0.2">
      <c r="D87" s="298"/>
      <c r="E87" s="298"/>
      <c r="G87" s="299"/>
      <c r="H87" s="298"/>
    </row>
    <row r="88" spans="4:8" x14ac:dyDescent="0.2">
      <c r="D88" s="298"/>
      <c r="E88" s="298"/>
      <c r="G88" s="299"/>
      <c r="H88" s="298"/>
    </row>
    <row r="89" spans="4:8" x14ac:dyDescent="0.2">
      <c r="D89" s="298"/>
      <c r="E89" s="298"/>
      <c r="G89" s="299"/>
      <c r="H89" s="298"/>
    </row>
    <row r="90" spans="4:8" x14ac:dyDescent="0.2">
      <c r="D90" s="298"/>
      <c r="E90" s="298"/>
      <c r="G90" s="299"/>
      <c r="H90" s="298"/>
    </row>
    <row r="91" spans="4:8" x14ac:dyDescent="0.2">
      <c r="D91" s="298"/>
      <c r="E91" s="298"/>
      <c r="G91" s="299"/>
      <c r="H91" s="298"/>
    </row>
    <row r="92" spans="4:8" x14ac:dyDescent="0.2">
      <c r="D92" s="298"/>
      <c r="E92" s="298"/>
      <c r="G92" s="299"/>
      <c r="H92" s="298"/>
    </row>
    <row r="93" spans="4:8" x14ac:dyDescent="0.2">
      <c r="D93" s="298"/>
      <c r="E93" s="298"/>
      <c r="G93" s="299"/>
      <c r="H93" s="298"/>
    </row>
    <row r="94" spans="4:8" x14ac:dyDescent="0.2">
      <c r="D94" s="298"/>
      <c r="E94" s="298"/>
      <c r="G94" s="299"/>
      <c r="H94" s="298"/>
    </row>
    <row r="95" spans="4:8" x14ac:dyDescent="0.2">
      <c r="D95" s="298"/>
      <c r="E95" s="298"/>
      <c r="G95" s="299"/>
      <c r="H95" s="298"/>
    </row>
    <row r="96" spans="4:8" x14ac:dyDescent="0.2">
      <c r="D96" s="298"/>
      <c r="E96" s="298"/>
      <c r="G96" s="299"/>
      <c r="H96" s="298"/>
    </row>
    <row r="97" spans="4:8" x14ac:dyDescent="0.2">
      <c r="D97" s="298"/>
      <c r="E97" s="298"/>
      <c r="G97" s="299"/>
      <c r="H97" s="298"/>
    </row>
    <row r="98" spans="4:8" x14ac:dyDescent="0.2">
      <c r="D98" s="298"/>
      <c r="E98" s="298"/>
      <c r="G98" s="299"/>
      <c r="H98" s="298"/>
    </row>
    <row r="99" spans="4:8" x14ac:dyDescent="0.2">
      <c r="D99" s="298"/>
      <c r="E99" s="298"/>
      <c r="G99" s="299"/>
      <c r="H99" s="298"/>
    </row>
    <row r="100" spans="4:8" x14ac:dyDescent="0.2">
      <c r="D100" s="298"/>
      <c r="E100" s="298"/>
      <c r="G100" s="299"/>
      <c r="H100" s="298"/>
    </row>
    <row r="101" spans="4:8" x14ac:dyDescent="0.2">
      <c r="D101" s="298"/>
      <c r="E101" s="298"/>
      <c r="G101" s="299"/>
      <c r="H101" s="298"/>
    </row>
    <row r="102" spans="4:8" x14ac:dyDescent="0.2">
      <c r="D102" s="298"/>
      <c r="E102" s="298"/>
      <c r="G102" s="299"/>
      <c r="H102" s="298"/>
    </row>
    <row r="103" spans="4:8" x14ac:dyDescent="0.2">
      <c r="D103" s="298"/>
      <c r="E103" s="298"/>
      <c r="G103" s="299"/>
      <c r="H103" s="298"/>
    </row>
    <row r="104" spans="4:8" x14ac:dyDescent="0.2">
      <c r="D104" s="298"/>
      <c r="E104" s="298"/>
      <c r="G104" s="299"/>
      <c r="H104" s="298"/>
    </row>
    <row r="105" spans="4:8" x14ac:dyDescent="0.2">
      <c r="D105" s="298"/>
      <c r="E105" s="298"/>
      <c r="G105" s="299"/>
      <c r="H105" s="298"/>
    </row>
    <row r="106" spans="4:8" x14ac:dyDescent="0.2">
      <c r="D106" s="298"/>
      <c r="E106" s="298"/>
      <c r="G106" s="299"/>
      <c r="H106" s="298"/>
    </row>
    <row r="107" spans="4:8" x14ac:dyDescent="0.2">
      <c r="D107" s="298"/>
      <c r="E107" s="298"/>
      <c r="G107" s="299"/>
      <c r="H107" s="298"/>
    </row>
    <row r="108" spans="4:8" x14ac:dyDescent="0.2">
      <c r="D108" s="298"/>
      <c r="E108" s="298"/>
      <c r="G108" s="299"/>
      <c r="H108" s="298"/>
    </row>
    <row r="109" spans="4:8" x14ac:dyDescent="0.2">
      <c r="D109" s="298"/>
      <c r="E109" s="298"/>
      <c r="G109" s="299"/>
      <c r="H109" s="298"/>
    </row>
    <row r="110" spans="4:8" x14ac:dyDescent="0.2">
      <c r="D110" s="298"/>
      <c r="E110" s="298"/>
      <c r="G110" s="299"/>
      <c r="H110" s="298"/>
    </row>
    <row r="111" spans="4:8" x14ac:dyDescent="0.2">
      <c r="D111" s="298"/>
      <c r="E111" s="298"/>
      <c r="G111" s="299"/>
      <c r="H111" s="298"/>
    </row>
    <row r="112" spans="4:8" x14ac:dyDescent="0.2">
      <c r="D112" s="298"/>
      <c r="E112" s="298"/>
      <c r="G112" s="299"/>
      <c r="H112" s="298"/>
    </row>
    <row r="113" spans="4:8" x14ac:dyDescent="0.2">
      <c r="D113" s="298"/>
      <c r="E113" s="298"/>
      <c r="G113" s="299"/>
      <c r="H113" s="298"/>
    </row>
    <row r="114" spans="4:8" x14ac:dyDescent="0.2">
      <c r="D114" s="298"/>
      <c r="E114" s="298"/>
      <c r="G114" s="299"/>
      <c r="H114" s="298"/>
    </row>
    <row r="115" spans="4:8" x14ac:dyDescent="0.2">
      <c r="D115" s="298"/>
      <c r="E115" s="298"/>
      <c r="G115" s="299"/>
      <c r="H115" s="298"/>
    </row>
    <row r="116" spans="4:8" x14ac:dyDescent="0.2">
      <c r="D116" s="298"/>
      <c r="E116" s="298"/>
      <c r="G116" s="299"/>
      <c r="H116" s="298"/>
    </row>
    <row r="117" spans="4:8" x14ac:dyDescent="0.2">
      <c r="D117" s="298"/>
      <c r="E117" s="298"/>
      <c r="G117" s="299"/>
      <c r="H117" s="298"/>
    </row>
    <row r="118" spans="4:8" x14ac:dyDescent="0.2">
      <c r="D118" s="298"/>
      <c r="E118" s="298"/>
      <c r="G118" s="299"/>
      <c r="H118" s="298"/>
    </row>
    <row r="119" spans="4:8" x14ac:dyDescent="0.2">
      <c r="D119" s="298"/>
      <c r="E119" s="298"/>
      <c r="G119" s="299"/>
      <c r="H119" s="298"/>
    </row>
    <row r="120" spans="4:8" x14ac:dyDescent="0.2">
      <c r="D120" s="298"/>
      <c r="E120" s="298"/>
      <c r="G120" s="299"/>
      <c r="H120" s="298"/>
    </row>
    <row r="121" spans="4:8" x14ac:dyDescent="0.2">
      <c r="D121" s="298"/>
      <c r="E121" s="298"/>
      <c r="G121" s="299"/>
      <c r="H121" s="298"/>
    </row>
    <row r="122" spans="4:8" x14ac:dyDescent="0.2">
      <c r="D122" s="298"/>
      <c r="E122" s="298"/>
      <c r="G122" s="299"/>
      <c r="H122" s="298"/>
    </row>
    <row r="123" spans="4:8" x14ac:dyDescent="0.2">
      <c r="D123" s="298"/>
      <c r="E123" s="298"/>
      <c r="G123" s="299"/>
      <c r="H123" s="298"/>
    </row>
    <row r="124" spans="4:8" x14ac:dyDescent="0.2">
      <c r="D124" s="298"/>
      <c r="E124" s="298"/>
      <c r="G124" s="299"/>
      <c r="H124" s="298"/>
    </row>
    <row r="125" spans="4:8" x14ac:dyDescent="0.2">
      <c r="D125" s="298"/>
      <c r="E125" s="298"/>
      <c r="G125" s="299"/>
      <c r="H125" s="298"/>
    </row>
    <row r="126" spans="4:8" x14ac:dyDescent="0.2">
      <c r="D126" s="298"/>
      <c r="E126" s="298"/>
      <c r="G126" s="299"/>
      <c r="H126" s="298"/>
    </row>
    <row r="127" spans="4:8" x14ac:dyDescent="0.2">
      <c r="D127" s="298"/>
      <c r="E127" s="298"/>
      <c r="G127" s="299"/>
      <c r="H127" s="298"/>
    </row>
    <row r="128" spans="4:8" x14ac:dyDescent="0.2">
      <c r="D128" s="298"/>
      <c r="E128" s="298"/>
      <c r="G128" s="299"/>
      <c r="H128" s="298"/>
    </row>
    <row r="129" spans="4:8" x14ac:dyDescent="0.2">
      <c r="D129" s="298"/>
      <c r="E129" s="298"/>
      <c r="G129" s="299"/>
      <c r="H129" s="298"/>
    </row>
  </sheetData>
  <sheetProtection selectLockedCells="1" selectUnlockedCells="1"/>
  <mergeCells count="22">
    <mergeCell ref="B2:C2"/>
    <mergeCell ref="D2:G2"/>
    <mergeCell ref="B3:C3"/>
    <mergeCell ref="D3:G3"/>
    <mergeCell ref="B4:C4"/>
    <mergeCell ref="D4:G4"/>
    <mergeCell ref="E50:E51"/>
    <mergeCell ref="G50:G51"/>
    <mergeCell ref="H50:H51"/>
    <mergeCell ref="B6:I6"/>
    <mergeCell ref="B8:I8"/>
    <mergeCell ref="B9:I9"/>
    <mergeCell ref="B11:I11"/>
    <mergeCell ref="B12:I12"/>
    <mergeCell ref="B13:E13"/>
    <mergeCell ref="G13:I13"/>
    <mergeCell ref="B54:D54"/>
    <mergeCell ref="B56:D56"/>
    <mergeCell ref="B58:D58"/>
    <mergeCell ref="B50:B51"/>
    <mergeCell ref="C50:C51"/>
    <mergeCell ref="D50:D51"/>
  </mergeCells>
  <pageMargins left="2.6562499999999999E-2" right="0.12395833333333334" top="0.19685039370078741" bottom="0" header="0" footer="0"/>
  <pageSetup paperSize="9" scale="72" firstPageNumber="0" fitToHeight="0" orientation="portrait" verticalDpi="300" r:id="rId1"/>
  <headerFooter alignWithMargins="0">
    <oddHeader xml:space="preserve">&amp;CANNEXE 3. PLAN DE FINANCEMENT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24441-6826-443B-B0DD-463F15E97B9D}">
  <sheetPr>
    <tabColor theme="9" tint="0.79998168889431442"/>
  </sheetPr>
  <dimension ref="A1:K6"/>
  <sheetViews>
    <sheetView showGridLines="0" zoomScale="90" zoomScaleNormal="90" workbookViewId="0">
      <pane ySplit="1" topLeftCell="A2" activePane="bottomLeft" state="frozen"/>
      <selection pane="bottomLeft" activeCell="D32" sqref="D32"/>
    </sheetView>
  </sheetViews>
  <sheetFormatPr baseColWidth="10" defaultColWidth="11.42578125" defaultRowHeight="15" x14ac:dyDescent="0.25"/>
  <cols>
    <col min="1" max="1" width="2.42578125" style="28" customWidth="1"/>
    <col min="2" max="2" width="20.42578125" style="28" customWidth="1"/>
    <col min="3" max="3" width="32.42578125" style="28" customWidth="1"/>
    <col min="4" max="4" width="22.85546875" style="28" customWidth="1"/>
    <col min="5" max="5" width="21.140625" style="54" customWidth="1"/>
    <col min="6" max="7" width="21.140625" style="28" customWidth="1"/>
    <col min="8" max="8" width="18.140625" style="28" customWidth="1"/>
  </cols>
  <sheetData>
    <row r="1" spans="2:11" ht="41.45" customHeight="1" x14ac:dyDescent="0.25">
      <c r="B1" s="495" t="s">
        <v>364</v>
      </c>
      <c r="C1" s="495"/>
      <c r="D1" s="495"/>
      <c r="E1" s="495"/>
      <c r="F1" s="495"/>
      <c r="G1" s="495"/>
      <c r="H1" s="495"/>
    </row>
    <row r="2" spans="2:11" ht="28.5" customHeight="1" x14ac:dyDescent="0.25"/>
    <row r="3" spans="2:11" ht="56.1" customHeight="1" x14ac:dyDescent="0.25">
      <c r="B3" s="549" t="s">
        <v>365</v>
      </c>
      <c r="C3" s="550"/>
      <c r="D3" s="550"/>
      <c r="E3" s="550"/>
      <c r="F3" s="550"/>
      <c r="G3" s="550"/>
      <c r="H3" s="551"/>
    </row>
    <row r="5" spans="2:11" s="28" customFormat="1" ht="15.75" x14ac:dyDescent="0.25">
      <c r="B5" s="472" t="s">
        <v>366</v>
      </c>
      <c r="E5" s="54"/>
      <c r="I5"/>
      <c r="J5"/>
      <c r="K5"/>
    </row>
    <row r="6" spans="2:11" x14ac:dyDescent="0.25">
      <c r="B6" s="54"/>
      <c r="C6" s="473"/>
      <c r="D6" s="54"/>
      <c r="F6" s="54"/>
      <c r="G6" s="54"/>
      <c r="H6" s="54"/>
      <c r="I6" s="54"/>
      <c r="J6" s="54"/>
      <c r="K6" s="54"/>
    </row>
  </sheetData>
  <mergeCells count="2">
    <mergeCell ref="B1:H1"/>
    <mergeCell ref="B3:H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rgb="FFFF0000"/>
  </sheetPr>
  <dimension ref="A1:L54"/>
  <sheetViews>
    <sheetView showGridLines="0" zoomScale="90" zoomScaleNormal="90" workbookViewId="0">
      <pane ySplit="1" topLeftCell="A2" activePane="bottomLeft" state="frozen"/>
      <selection pane="bottomLeft" activeCell="A2" sqref="A2"/>
    </sheetView>
  </sheetViews>
  <sheetFormatPr baseColWidth="10" defaultColWidth="9.140625" defaultRowHeight="12.75" outlineLevelRow="1" x14ac:dyDescent="0.2"/>
  <cols>
    <col min="1" max="1" width="13.5703125" style="36" customWidth="1"/>
    <col min="2" max="2" width="31" style="35" customWidth="1"/>
    <col min="3" max="3" width="25" style="35" customWidth="1"/>
    <col min="4" max="4" width="22.42578125" style="35" customWidth="1"/>
    <col min="5" max="5" width="21.42578125" style="35" customWidth="1"/>
    <col min="6" max="6" width="18.42578125" style="35" customWidth="1"/>
    <col min="7" max="11" width="21.42578125" style="35" customWidth="1"/>
    <col min="12" max="25" width="6.5703125" style="35" bestFit="1" customWidth="1"/>
    <col min="26" max="26" width="6.140625" style="35" bestFit="1" customWidth="1"/>
    <col min="27" max="16384" width="9.140625" style="35"/>
  </cols>
  <sheetData>
    <row r="1" spans="1:12" s="259" customFormat="1" ht="46.5" customHeight="1" x14ac:dyDescent="0.3">
      <c r="A1" s="268" t="s">
        <v>76</v>
      </c>
      <c r="B1" s="255"/>
      <c r="C1" s="255"/>
      <c r="D1" s="255"/>
      <c r="E1" s="255"/>
      <c r="F1" s="255"/>
      <c r="G1" s="255"/>
      <c r="H1" s="255"/>
      <c r="I1" s="255"/>
    </row>
    <row r="2" spans="1:12" s="39" customFormat="1" ht="15" customHeight="1" x14ac:dyDescent="0.3">
      <c r="A2"/>
      <c r="B2"/>
      <c r="C2"/>
      <c r="D2"/>
      <c r="E2"/>
      <c r="F2" s="40"/>
      <c r="G2" s="40"/>
      <c r="H2" s="40"/>
      <c r="I2" s="40"/>
    </row>
    <row r="3" spans="1:12" s="39" customFormat="1" ht="15" customHeight="1" x14ac:dyDescent="0.3">
      <c r="A3"/>
      <c r="B3" s="114" t="s">
        <v>175</v>
      </c>
      <c r="C3"/>
      <c r="D3"/>
      <c r="E3"/>
      <c r="F3" s="40"/>
      <c r="G3" s="40"/>
      <c r="H3" s="40"/>
      <c r="I3" s="40"/>
    </row>
    <row r="4" spans="1:12" s="39" customFormat="1" ht="15" customHeight="1" x14ac:dyDescent="0.3">
      <c r="A4"/>
      <c r="B4" s="154" t="s">
        <v>190</v>
      </c>
      <c r="C4" s="150"/>
      <c r="D4" s="150"/>
      <c r="E4" s="150"/>
      <c r="F4" s="150"/>
      <c r="G4" s="150"/>
      <c r="H4" s="40"/>
      <c r="I4" s="40"/>
    </row>
    <row r="5" spans="1:12" s="39" customFormat="1" ht="15" customHeight="1" x14ac:dyDescent="0.3">
      <c r="A5"/>
      <c r="B5"/>
      <c r="C5"/>
      <c r="D5"/>
      <c r="E5"/>
      <c r="F5" s="40"/>
      <c r="G5" s="40"/>
      <c r="H5" s="40"/>
      <c r="I5" s="40"/>
    </row>
    <row r="6" spans="1:12" s="259" customFormat="1" ht="28.5" customHeight="1" x14ac:dyDescent="0.25">
      <c r="A6" s="260" t="s">
        <v>129</v>
      </c>
      <c r="B6" s="261"/>
      <c r="C6" s="261"/>
      <c r="D6" s="261"/>
      <c r="E6" s="261"/>
      <c r="F6" s="263"/>
      <c r="G6" s="263"/>
      <c r="H6" s="263"/>
      <c r="I6" s="263"/>
    </row>
    <row r="7" spans="1:12" ht="15" x14ac:dyDescent="0.25">
      <c r="A7"/>
      <c r="B7" t="str">
        <f>""</f>
        <v/>
      </c>
      <c r="C7"/>
      <c r="D7"/>
      <c r="E7"/>
      <c r="F7"/>
      <c r="G7"/>
      <c r="H7"/>
      <c r="I7"/>
    </row>
    <row r="8" spans="1:12" ht="46.5" customHeight="1" x14ac:dyDescent="0.2">
      <c r="A8" s="86"/>
      <c r="B8" s="57" t="s">
        <v>75</v>
      </c>
      <c r="C8" s="57" t="s">
        <v>237</v>
      </c>
      <c r="D8" s="252" t="s">
        <v>239</v>
      </c>
      <c r="E8" s="57" t="s">
        <v>189</v>
      </c>
      <c r="F8" s="57" t="s">
        <v>86</v>
      </c>
      <c r="G8" s="57" t="s">
        <v>155</v>
      </c>
      <c r="H8" s="57" t="s">
        <v>176</v>
      </c>
      <c r="I8" s="68"/>
      <c r="J8" s="70"/>
    </row>
    <row r="9" spans="1:12" ht="15" x14ac:dyDescent="0.25">
      <c r="A9" s="38" t="str">
        <f>"Véhicule n°"&amp;"1"</f>
        <v>Véhicule n°1</v>
      </c>
      <c r="B9" s="204"/>
      <c r="C9" s="205"/>
      <c r="D9" s="253"/>
      <c r="E9" s="115" t="str">
        <f t="shared" ref="E9:E28" si="0">IF(IFERROR(VLOOKUP(B9,Consommations,4,FALSE),"")=0,"",IFERROR(VLOOKUP(B9,Consommations,4,FALSE),""))</f>
        <v/>
      </c>
      <c r="F9" s="71">
        <f t="shared" ref="F9:F28" si="1">IF(G9&lt;&gt;0,C9*G9/100,IFERROR(C9*E9/100,0))</f>
        <v>0</v>
      </c>
      <c r="G9" s="206"/>
      <c r="H9" s="207"/>
      <c r="I9" s="67" t="str">
        <f t="shared" ref="I9:I28" si="2">IF(AND(E9="",B9&lt;&gt;"",NOT(ISNUMBER(G9))),"Renseigner une consommation d'H2 en kg/100km","")</f>
        <v/>
      </c>
    </row>
    <row r="10" spans="1:12" ht="15" x14ac:dyDescent="0.25">
      <c r="A10" s="38" t="str">
        <f>"Véhicule n°"&amp;"2"</f>
        <v>Véhicule n°2</v>
      </c>
      <c r="B10" s="204"/>
      <c r="C10" s="205"/>
      <c r="D10" s="253"/>
      <c r="E10" s="115" t="str">
        <f t="shared" si="0"/>
        <v/>
      </c>
      <c r="F10" s="71">
        <f t="shared" si="1"/>
        <v>0</v>
      </c>
      <c r="G10" s="206"/>
      <c r="H10" s="207"/>
      <c r="I10" s="67" t="str">
        <f t="shared" si="2"/>
        <v/>
      </c>
    </row>
    <row r="11" spans="1:12" ht="15" x14ac:dyDescent="0.25">
      <c r="A11" s="38" t="str">
        <f>"Véhicule n°"&amp;"3"</f>
        <v>Véhicule n°3</v>
      </c>
      <c r="B11" s="204"/>
      <c r="C11" s="205"/>
      <c r="D11" s="253"/>
      <c r="E11" s="115" t="str">
        <f t="shared" si="0"/>
        <v/>
      </c>
      <c r="F11" s="71">
        <f t="shared" si="1"/>
        <v>0</v>
      </c>
      <c r="G11" s="206"/>
      <c r="H11" s="207"/>
      <c r="I11" s="67" t="str">
        <f t="shared" si="2"/>
        <v/>
      </c>
      <c r="J11"/>
      <c r="K11"/>
      <c r="L11"/>
    </row>
    <row r="12" spans="1:12" ht="15" x14ac:dyDescent="0.25">
      <c r="A12" s="38" t="str">
        <f>"Véhicule n°"&amp;"4"</f>
        <v>Véhicule n°4</v>
      </c>
      <c r="B12" s="204"/>
      <c r="C12" s="205"/>
      <c r="D12" s="253"/>
      <c r="E12" s="115" t="str">
        <f t="shared" si="0"/>
        <v/>
      </c>
      <c r="F12" s="71">
        <f t="shared" si="1"/>
        <v>0</v>
      </c>
      <c r="G12" s="206"/>
      <c r="H12" s="207"/>
      <c r="I12" s="67" t="str">
        <f t="shared" si="2"/>
        <v/>
      </c>
      <c r="J12"/>
      <c r="K12"/>
      <c r="L12"/>
    </row>
    <row r="13" spans="1:12" ht="15" x14ac:dyDescent="0.25">
      <c r="A13" s="38" t="str">
        <f>"Véhicule n°"&amp;"5"</f>
        <v>Véhicule n°5</v>
      </c>
      <c r="B13" s="204"/>
      <c r="C13" s="205"/>
      <c r="D13" s="253"/>
      <c r="E13" s="115" t="str">
        <f t="shared" si="0"/>
        <v/>
      </c>
      <c r="F13" s="71">
        <f t="shared" si="1"/>
        <v>0</v>
      </c>
      <c r="G13" s="206"/>
      <c r="H13" s="207"/>
      <c r="I13" s="67" t="str">
        <f t="shared" si="2"/>
        <v/>
      </c>
    </row>
    <row r="14" spans="1:12" ht="15" x14ac:dyDescent="0.25">
      <c r="A14" s="38" t="str">
        <f>"Véhicule n°"&amp;"6"</f>
        <v>Véhicule n°6</v>
      </c>
      <c r="B14" s="204"/>
      <c r="C14" s="205"/>
      <c r="D14" s="253"/>
      <c r="E14" s="115" t="str">
        <f t="shared" si="0"/>
        <v/>
      </c>
      <c r="F14" s="71">
        <f t="shared" si="1"/>
        <v>0</v>
      </c>
      <c r="G14" s="206"/>
      <c r="H14" s="207"/>
      <c r="I14" s="67" t="str">
        <f t="shared" si="2"/>
        <v/>
      </c>
    </row>
    <row r="15" spans="1:12" ht="15" x14ac:dyDescent="0.25">
      <c r="A15" s="38" t="str">
        <f>"Véhicule n°"&amp;"7"</f>
        <v>Véhicule n°7</v>
      </c>
      <c r="B15" s="204"/>
      <c r="C15" s="205"/>
      <c r="D15" s="253"/>
      <c r="E15" s="115" t="str">
        <f t="shared" si="0"/>
        <v/>
      </c>
      <c r="F15" s="71">
        <f t="shared" si="1"/>
        <v>0</v>
      </c>
      <c r="G15" s="206"/>
      <c r="H15" s="207"/>
      <c r="I15" s="67" t="str">
        <f t="shared" si="2"/>
        <v/>
      </c>
    </row>
    <row r="16" spans="1:12" ht="15" x14ac:dyDescent="0.25">
      <c r="A16" s="38" t="str">
        <f>"Véhicule n°"&amp;"8"</f>
        <v>Véhicule n°8</v>
      </c>
      <c r="B16" s="204"/>
      <c r="C16" s="205"/>
      <c r="D16" s="253"/>
      <c r="E16" s="115" t="str">
        <f t="shared" si="0"/>
        <v/>
      </c>
      <c r="F16" s="71">
        <f t="shared" si="1"/>
        <v>0</v>
      </c>
      <c r="G16" s="206"/>
      <c r="H16" s="207"/>
      <c r="I16" s="67" t="str">
        <f t="shared" si="2"/>
        <v/>
      </c>
      <c r="J16"/>
      <c r="K16"/>
      <c r="L16"/>
    </row>
    <row r="17" spans="1:12" ht="15" x14ac:dyDescent="0.25">
      <c r="A17" s="38" t="str">
        <f>"Véhicule n°"&amp;"9"</f>
        <v>Véhicule n°9</v>
      </c>
      <c r="B17" s="204"/>
      <c r="C17" s="205"/>
      <c r="D17" s="253"/>
      <c r="E17" s="115" t="str">
        <f t="shared" si="0"/>
        <v/>
      </c>
      <c r="F17" s="71">
        <f t="shared" si="1"/>
        <v>0</v>
      </c>
      <c r="G17" s="206"/>
      <c r="H17" s="207"/>
      <c r="I17" s="67" t="str">
        <f t="shared" si="2"/>
        <v/>
      </c>
      <c r="J17"/>
      <c r="K17"/>
      <c r="L17"/>
    </row>
    <row r="18" spans="1:12" ht="15" x14ac:dyDescent="0.25">
      <c r="A18" s="38" t="str">
        <f>"Véhicule n°"&amp;"10"</f>
        <v>Véhicule n°10</v>
      </c>
      <c r="B18" s="204"/>
      <c r="C18" s="205"/>
      <c r="D18" s="253"/>
      <c r="E18" s="115" t="str">
        <f t="shared" si="0"/>
        <v/>
      </c>
      <c r="F18" s="71">
        <f t="shared" si="1"/>
        <v>0</v>
      </c>
      <c r="G18" s="206"/>
      <c r="H18" s="207"/>
      <c r="I18" s="67" t="str">
        <f t="shared" si="2"/>
        <v/>
      </c>
      <c r="J18"/>
      <c r="K18"/>
      <c r="L18"/>
    </row>
    <row r="19" spans="1:12" ht="15" outlineLevel="1" x14ac:dyDescent="0.25">
      <c r="A19" s="38" t="str">
        <f>"Véhicule n°"&amp;"11"</f>
        <v>Véhicule n°11</v>
      </c>
      <c r="B19" s="204"/>
      <c r="C19" s="205"/>
      <c r="D19" s="253"/>
      <c r="E19" s="115" t="str">
        <f t="shared" si="0"/>
        <v/>
      </c>
      <c r="F19" s="71">
        <f t="shared" si="1"/>
        <v>0</v>
      </c>
      <c r="G19" s="206"/>
      <c r="H19" s="207"/>
      <c r="I19" s="67" t="str">
        <f t="shared" si="2"/>
        <v/>
      </c>
    </row>
    <row r="20" spans="1:12" ht="15" outlineLevel="1" x14ac:dyDescent="0.25">
      <c r="A20" s="38" t="str">
        <f>"Véhicule n°"&amp;"12"</f>
        <v>Véhicule n°12</v>
      </c>
      <c r="B20" s="204"/>
      <c r="C20" s="205"/>
      <c r="D20" s="253"/>
      <c r="E20" s="115" t="str">
        <f t="shared" si="0"/>
        <v/>
      </c>
      <c r="F20" s="71">
        <f t="shared" si="1"/>
        <v>0</v>
      </c>
      <c r="G20" s="206"/>
      <c r="H20" s="207"/>
      <c r="I20" s="67" t="str">
        <f t="shared" si="2"/>
        <v/>
      </c>
    </row>
    <row r="21" spans="1:12" ht="15" outlineLevel="1" x14ac:dyDescent="0.25">
      <c r="A21" s="38" t="str">
        <f>"Véhicule n°"&amp;"13"</f>
        <v>Véhicule n°13</v>
      </c>
      <c r="B21" s="204"/>
      <c r="C21" s="205"/>
      <c r="D21" s="253"/>
      <c r="E21" s="115" t="str">
        <f t="shared" si="0"/>
        <v/>
      </c>
      <c r="F21" s="71">
        <f t="shared" si="1"/>
        <v>0</v>
      </c>
      <c r="G21" s="206"/>
      <c r="H21" s="207"/>
      <c r="I21" s="67" t="str">
        <f t="shared" si="2"/>
        <v/>
      </c>
      <c r="J21"/>
      <c r="K21"/>
      <c r="L21"/>
    </row>
    <row r="22" spans="1:12" ht="15" outlineLevel="1" x14ac:dyDescent="0.25">
      <c r="A22" s="38" t="str">
        <f>"Véhicule n°"&amp;"14"</f>
        <v>Véhicule n°14</v>
      </c>
      <c r="B22" s="204"/>
      <c r="C22" s="205"/>
      <c r="D22" s="253"/>
      <c r="E22" s="115" t="str">
        <f t="shared" si="0"/>
        <v/>
      </c>
      <c r="F22" s="71">
        <f t="shared" si="1"/>
        <v>0</v>
      </c>
      <c r="G22" s="206"/>
      <c r="H22" s="207"/>
      <c r="I22" s="67" t="str">
        <f t="shared" si="2"/>
        <v/>
      </c>
      <c r="J22"/>
      <c r="K22"/>
      <c r="L22"/>
    </row>
    <row r="23" spans="1:12" ht="15" outlineLevel="1" x14ac:dyDescent="0.25">
      <c r="A23" s="38" t="str">
        <f>"Véhicule n°"&amp;"15"</f>
        <v>Véhicule n°15</v>
      </c>
      <c r="B23" s="204"/>
      <c r="C23" s="205"/>
      <c r="D23" s="253"/>
      <c r="E23" s="115" t="str">
        <f t="shared" si="0"/>
        <v/>
      </c>
      <c r="F23" s="71">
        <f t="shared" si="1"/>
        <v>0</v>
      </c>
      <c r="G23" s="206"/>
      <c r="H23" s="207"/>
      <c r="I23" s="67" t="str">
        <f t="shared" si="2"/>
        <v/>
      </c>
    </row>
    <row r="24" spans="1:12" ht="15" outlineLevel="1" x14ac:dyDescent="0.25">
      <c r="A24" s="38" t="str">
        <f>"Véhicule n°"&amp;"16"</f>
        <v>Véhicule n°16</v>
      </c>
      <c r="B24" s="204"/>
      <c r="C24" s="205"/>
      <c r="D24" s="253"/>
      <c r="E24" s="115" t="str">
        <f t="shared" si="0"/>
        <v/>
      </c>
      <c r="F24" s="71">
        <f t="shared" si="1"/>
        <v>0</v>
      </c>
      <c r="G24" s="206"/>
      <c r="H24" s="207"/>
      <c r="I24" s="67" t="str">
        <f t="shared" si="2"/>
        <v/>
      </c>
    </row>
    <row r="25" spans="1:12" ht="15" outlineLevel="1" x14ac:dyDescent="0.25">
      <c r="A25" s="38" t="str">
        <f>"Véhicule n°"&amp;"17"</f>
        <v>Véhicule n°17</v>
      </c>
      <c r="B25" s="204"/>
      <c r="C25" s="205"/>
      <c r="D25" s="253"/>
      <c r="E25" s="115" t="str">
        <f t="shared" si="0"/>
        <v/>
      </c>
      <c r="F25" s="71">
        <f t="shared" si="1"/>
        <v>0</v>
      </c>
      <c r="G25" s="206"/>
      <c r="H25" s="207"/>
      <c r="I25" s="67" t="str">
        <f t="shared" si="2"/>
        <v/>
      </c>
    </row>
    <row r="26" spans="1:12" ht="15" outlineLevel="1" x14ac:dyDescent="0.25">
      <c r="A26" s="38" t="str">
        <f>"Véhicule n°"&amp;"18"</f>
        <v>Véhicule n°18</v>
      </c>
      <c r="B26" s="204"/>
      <c r="C26" s="205"/>
      <c r="D26" s="253"/>
      <c r="E26" s="115" t="str">
        <f t="shared" si="0"/>
        <v/>
      </c>
      <c r="F26" s="71">
        <f t="shared" si="1"/>
        <v>0</v>
      </c>
      <c r="G26" s="206"/>
      <c r="H26" s="207"/>
      <c r="I26" s="67" t="str">
        <f t="shared" si="2"/>
        <v/>
      </c>
      <c r="J26"/>
      <c r="K26"/>
      <c r="L26"/>
    </row>
    <row r="27" spans="1:12" ht="15" outlineLevel="1" x14ac:dyDescent="0.25">
      <c r="A27" s="38" t="str">
        <f>"Véhicule n°"&amp;"19"</f>
        <v>Véhicule n°19</v>
      </c>
      <c r="B27" s="204"/>
      <c r="C27" s="205"/>
      <c r="D27" s="253"/>
      <c r="E27" s="115" t="str">
        <f t="shared" si="0"/>
        <v/>
      </c>
      <c r="F27" s="71">
        <f t="shared" si="1"/>
        <v>0</v>
      </c>
      <c r="G27" s="206"/>
      <c r="H27" s="207"/>
      <c r="I27" s="67" t="str">
        <f t="shared" si="2"/>
        <v/>
      </c>
      <c r="J27"/>
      <c r="K27"/>
      <c r="L27"/>
    </row>
    <row r="28" spans="1:12" ht="15" outlineLevel="1" x14ac:dyDescent="0.25">
      <c r="A28" s="38" t="str">
        <f>"Véhicule n°"&amp;"20"</f>
        <v>Véhicule n°20</v>
      </c>
      <c r="B28" s="204"/>
      <c r="C28" s="205"/>
      <c r="D28" s="253"/>
      <c r="E28" s="115" t="str">
        <f t="shared" si="0"/>
        <v/>
      </c>
      <c r="F28" s="71">
        <f t="shared" si="1"/>
        <v>0</v>
      </c>
      <c r="G28" s="206"/>
      <c r="H28" s="207"/>
      <c r="I28" s="67" t="str">
        <f t="shared" si="2"/>
        <v/>
      </c>
      <c r="J28"/>
      <c r="K28"/>
      <c r="L28"/>
    </row>
    <row r="29" spans="1:12" ht="28.5" customHeight="1" x14ac:dyDescent="0.25">
      <c r="A29"/>
      <c r="B29"/>
      <c r="C29"/>
      <c r="D29"/>
      <c r="E29"/>
      <c r="F29"/>
      <c r="G29"/>
      <c r="H29"/>
      <c r="I29"/>
    </row>
    <row r="30" spans="1:12" s="259" customFormat="1" ht="28.5" customHeight="1" x14ac:dyDescent="0.25">
      <c r="A30" s="260" t="s">
        <v>130</v>
      </c>
      <c r="B30" s="261"/>
      <c r="C30" s="261"/>
      <c r="D30" s="261"/>
      <c r="E30" s="261"/>
      <c r="F30" s="263"/>
      <c r="G30" s="263"/>
      <c r="H30" s="263"/>
      <c r="I30" s="263"/>
    </row>
    <row r="31" spans="1:12" ht="15" x14ac:dyDescent="0.25">
      <c r="A31"/>
      <c r="B31"/>
      <c r="C31"/>
      <c r="D31"/>
      <c r="E31"/>
      <c r="F31"/>
      <c r="G31"/>
      <c r="H31"/>
      <c r="I31"/>
    </row>
    <row r="32" spans="1:12" ht="31.5" customHeight="1" x14ac:dyDescent="0.25">
      <c r="A32" s="86"/>
      <c r="B32" s="57" t="s">
        <v>161</v>
      </c>
      <c r="C32" s="57" t="s">
        <v>134</v>
      </c>
      <c r="D32" s="57" t="s">
        <v>228</v>
      </c>
      <c r="E32"/>
      <c r="F32"/>
      <c r="G32"/>
      <c r="H32"/>
      <c r="I32"/>
      <c r="J32"/>
    </row>
    <row r="33" spans="1:10" ht="15" x14ac:dyDescent="0.25">
      <c r="A33" s="38" t="s">
        <v>135</v>
      </c>
      <c r="B33" s="208"/>
      <c r="C33" s="238"/>
      <c r="D33" s="209"/>
      <c r="E33"/>
      <c r="F33"/>
      <c r="G33"/>
      <c r="H33"/>
      <c r="I33"/>
      <c r="J33"/>
    </row>
    <row r="34" spans="1:10" ht="15" x14ac:dyDescent="0.25">
      <c r="A34" s="38" t="s">
        <v>136</v>
      </c>
      <c r="B34" s="210"/>
      <c r="C34" s="238"/>
      <c r="D34" s="209"/>
      <c r="E34"/>
      <c r="F34"/>
      <c r="G34"/>
      <c r="H34"/>
      <c r="I34"/>
      <c r="J34"/>
    </row>
    <row r="35" spans="1:10" ht="15" x14ac:dyDescent="0.25">
      <c r="A35" s="38" t="s">
        <v>55</v>
      </c>
      <c r="B35" s="210"/>
      <c r="C35" s="238"/>
      <c r="D35" s="209"/>
      <c r="E35"/>
      <c r="F35"/>
      <c r="G35"/>
      <c r="H35"/>
      <c r="I35"/>
      <c r="J35"/>
    </row>
    <row r="36" spans="1:10" ht="15" x14ac:dyDescent="0.25">
      <c r="A36" s="38" t="s">
        <v>56</v>
      </c>
      <c r="B36" s="210"/>
      <c r="C36" s="238"/>
      <c r="D36" s="209"/>
      <c r="E36"/>
      <c r="F36"/>
      <c r="G36"/>
      <c r="H36"/>
      <c r="I36"/>
      <c r="J36"/>
    </row>
    <row r="37" spans="1:10" ht="15" x14ac:dyDescent="0.25">
      <c r="A37" s="38" t="s">
        <v>57</v>
      </c>
      <c r="B37" s="210"/>
      <c r="C37" s="238"/>
      <c r="D37" s="209"/>
      <c r="E37"/>
      <c r="F37"/>
      <c r="G37"/>
      <c r="H37"/>
      <c r="I37"/>
      <c r="J37"/>
    </row>
    <row r="38" spans="1:10" ht="15" x14ac:dyDescent="0.25">
      <c r="A38" s="38" t="s">
        <v>58</v>
      </c>
      <c r="B38" s="210"/>
      <c r="C38" s="238"/>
      <c r="D38" s="209"/>
      <c r="E38"/>
      <c r="F38"/>
      <c r="G38"/>
      <c r="H38"/>
      <c r="I38"/>
      <c r="J38"/>
    </row>
    <row r="39" spans="1:10" ht="15" x14ac:dyDescent="0.25">
      <c r="A39" s="38" t="s">
        <v>59</v>
      </c>
      <c r="B39" s="210"/>
      <c r="C39" s="238"/>
      <c r="D39" s="209"/>
      <c r="E39"/>
      <c r="F39"/>
      <c r="G39"/>
      <c r="H39"/>
      <c r="I39"/>
      <c r="J39"/>
    </row>
    <row r="40" spans="1:10" ht="15" x14ac:dyDescent="0.25">
      <c r="A40" s="38" t="s">
        <v>60</v>
      </c>
      <c r="B40" s="210"/>
      <c r="C40" s="238"/>
      <c r="D40" s="209"/>
      <c r="E40"/>
      <c r="F40"/>
      <c r="G40"/>
      <c r="H40"/>
      <c r="I40"/>
      <c r="J40"/>
    </row>
    <row r="41" spans="1:10" ht="15" x14ac:dyDescent="0.25">
      <c r="A41" s="38" t="s">
        <v>61</v>
      </c>
      <c r="B41" s="210"/>
      <c r="C41" s="238"/>
      <c r="D41" s="209"/>
      <c r="E41"/>
      <c r="F41"/>
      <c r="G41"/>
      <c r="H41"/>
      <c r="I41"/>
      <c r="J41"/>
    </row>
    <row r="42" spans="1:10" ht="15" x14ac:dyDescent="0.25">
      <c r="A42" s="38" t="s">
        <v>62</v>
      </c>
      <c r="B42" s="210"/>
      <c r="C42" s="238"/>
      <c r="D42" s="209"/>
      <c r="E42"/>
      <c r="F42"/>
      <c r="G42"/>
      <c r="H42"/>
      <c r="I42"/>
      <c r="J42"/>
    </row>
    <row r="43" spans="1:10" ht="15" x14ac:dyDescent="0.25">
      <c r="A43"/>
      <c r="B43"/>
      <c r="C43"/>
      <c r="D43"/>
      <c r="E43"/>
      <c r="F43"/>
      <c r="G43"/>
      <c r="H43"/>
      <c r="I43"/>
    </row>
    <row r="44" spans="1:10" x14ac:dyDescent="0.2">
      <c r="A44" s="35"/>
    </row>
    <row r="45" spans="1:10" x14ac:dyDescent="0.2">
      <c r="A45" s="35"/>
    </row>
    <row r="46" spans="1:10" x14ac:dyDescent="0.2">
      <c r="A46" s="35"/>
    </row>
    <row r="47" spans="1:10" x14ac:dyDescent="0.2">
      <c r="A47" s="35"/>
    </row>
    <row r="48" spans="1:10" x14ac:dyDescent="0.2">
      <c r="A48" s="35"/>
    </row>
    <row r="49" spans="1:1" x14ac:dyDescent="0.2">
      <c r="A49" s="35"/>
    </row>
    <row r="50" spans="1:1" x14ac:dyDescent="0.2">
      <c r="A50" s="35"/>
    </row>
    <row r="51" spans="1:1" x14ac:dyDescent="0.2">
      <c r="A51" s="35"/>
    </row>
    <row r="52" spans="1:1" ht="15.75" customHeight="1" x14ac:dyDescent="0.2">
      <c r="A52" s="35"/>
    </row>
    <row r="53" spans="1:1" x14ac:dyDescent="0.2">
      <c r="A53" s="35"/>
    </row>
    <row r="54" spans="1:1" x14ac:dyDescent="0.2">
      <c r="A54" s="35"/>
    </row>
  </sheetData>
  <sheetProtection algorithmName="SHA-512" hashValue="8sDNxg6j5PORtVo/58ACJTQUdD/59EY6OeBxzxxGNX5++DuiY1bIh/IBr9foEL4M7kEvPeoG4DKmg7gpfOcLaw==" saltValue="D9OwHi8TKFPYXqqfMdUURA==" spinCount="100000" sheet="1" formatCells="0" formatColumns="0" formatRows="0"/>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Sources!$B$109:$B$111</xm:f>
          </x14:formula1>
          <xm:sqref>C33:C42</xm:sqref>
        </x14:dataValidation>
        <x14:dataValidation type="list" allowBlank="1" showInputMessage="1" showErrorMessage="1" xr:uid="{00000000-0002-0000-0300-000001000000}">
          <x14:formula1>
            <xm:f>Sources!$B$14:$B$24</xm:f>
          </x14:formula1>
          <xm:sqref>B9:B28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theme="7" tint="0.79998168889431442"/>
  </sheetPr>
  <dimension ref="A1:Y343"/>
  <sheetViews>
    <sheetView showGridLines="0" zoomScale="80" zoomScaleNormal="80" workbookViewId="0">
      <pane ySplit="1" topLeftCell="A2" activePane="bottomLeft" state="frozen"/>
      <selection pane="bottomLeft" activeCell="G333" sqref="G333"/>
    </sheetView>
  </sheetViews>
  <sheetFormatPr baseColWidth="10" defaultColWidth="11.42578125" defaultRowHeight="15" outlineLevelRow="3" x14ac:dyDescent="0.25"/>
  <cols>
    <col min="1" max="1" width="11.42578125" style="28" customWidth="1"/>
    <col min="2" max="2" width="22.140625" style="28" customWidth="1"/>
    <col min="3" max="3" width="18.140625" style="28" customWidth="1"/>
    <col min="4" max="4" width="10.85546875" style="28" customWidth="1"/>
    <col min="5" max="24" width="14.42578125" style="28" customWidth="1"/>
    <col min="25" max="16384" width="11.42578125" style="28"/>
  </cols>
  <sheetData>
    <row r="1" spans="1:24" s="257" customFormat="1" ht="43.5" customHeight="1" x14ac:dyDescent="0.25">
      <c r="A1" s="258" t="s">
        <v>212</v>
      </c>
      <c r="B1" s="258"/>
      <c r="C1" s="258"/>
      <c r="D1" s="258"/>
      <c r="E1" s="258"/>
      <c r="F1" s="258"/>
      <c r="G1" s="258"/>
      <c r="H1" s="258"/>
      <c r="I1" s="258"/>
      <c r="J1" s="258"/>
      <c r="K1" s="258"/>
      <c r="L1" s="258"/>
      <c r="M1" s="258"/>
      <c r="N1" s="258"/>
      <c r="O1" s="258"/>
      <c r="P1" s="258"/>
      <c r="Q1" s="258"/>
      <c r="R1" s="258"/>
      <c r="S1" s="258"/>
      <c r="T1" s="258"/>
      <c r="U1" s="258"/>
      <c r="V1" s="258"/>
      <c r="W1" s="258"/>
      <c r="X1" s="258"/>
    </row>
    <row r="2" spans="1:24" x14ac:dyDescent="0.25">
      <c r="W2" s="139" t="s">
        <v>200</v>
      </c>
    </row>
    <row r="3" spans="1:24" ht="23.25" customHeight="1" x14ac:dyDescent="0.25">
      <c r="A3" s="139"/>
      <c r="B3" s="552" t="s">
        <v>88</v>
      </c>
      <c r="C3" s="553"/>
      <c r="D3" s="554"/>
    </row>
    <row r="4" spans="1:24" ht="15" customHeight="1" x14ac:dyDescent="0.25">
      <c r="B4" s="568" t="s">
        <v>175</v>
      </c>
      <c r="C4" s="569"/>
      <c r="D4" s="570"/>
      <c r="E4" s="46"/>
      <c r="F4" s="46"/>
      <c r="G4" s="46"/>
      <c r="H4" s="46"/>
      <c r="I4" s="46"/>
      <c r="J4" s="46"/>
      <c r="K4" s="46"/>
      <c r="L4" s="151"/>
      <c r="M4" s="46"/>
      <c r="O4" s="46"/>
      <c r="P4" s="46"/>
      <c r="Q4" s="46"/>
      <c r="R4" s="46"/>
    </row>
    <row r="5" spans="1:24" ht="15" customHeight="1" x14ac:dyDescent="0.25">
      <c r="A5" s="139" t="s">
        <v>179</v>
      </c>
      <c r="B5" s="565" t="s">
        <v>208</v>
      </c>
      <c r="C5" s="566"/>
      <c r="D5" s="566"/>
      <c r="E5" s="566"/>
      <c r="F5" s="566"/>
      <c r="G5" s="566"/>
      <c r="H5" s="566"/>
      <c r="I5" s="566"/>
      <c r="J5" s="566"/>
      <c r="K5" s="567"/>
      <c r="L5" s="151"/>
      <c r="M5" s="151"/>
      <c r="N5" s="151"/>
      <c r="O5" s="151"/>
      <c r="P5" s="151"/>
      <c r="Q5" s="151"/>
      <c r="R5" s="151"/>
      <c r="S5" s="46"/>
    </row>
    <row r="6" spans="1:24" ht="15" customHeight="1" thickBot="1" x14ac:dyDescent="0.3">
      <c r="A6" s="139" t="s">
        <v>200</v>
      </c>
      <c r="F6" s="151"/>
      <c r="G6" s="151"/>
      <c r="H6" s="151"/>
      <c r="I6" s="151"/>
      <c r="J6" s="151"/>
      <c r="K6" s="151"/>
      <c r="L6" s="151"/>
      <c r="M6" s="151"/>
      <c r="N6" s="151"/>
      <c r="O6" s="151"/>
      <c r="P6" s="151"/>
      <c r="Q6" s="151"/>
      <c r="R6" s="151"/>
      <c r="S6" s="46"/>
    </row>
    <row r="7" spans="1:24" ht="15" customHeight="1" thickTop="1" x14ac:dyDescent="0.25">
      <c r="A7" s="139" t="s">
        <v>201</v>
      </c>
      <c r="F7" s="596" t="s">
        <v>210</v>
      </c>
      <c r="G7" s="597"/>
      <c r="H7" s="597"/>
      <c r="I7" s="597"/>
      <c r="J7" s="597"/>
      <c r="K7" s="597"/>
      <c r="L7" s="597"/>
      <c r="M7" s="597"/>
      <c r="N7" s="597"/>
      <c r="O7" s="597"/>
      <c r="P7" s="597"/>
      <c r="Q7" s="597"/>
      <c r="R7" s="598"/>
    </row>
    <row r="8" spans="1:24" ht="15" customHeight="1" x14ac:dyDescent="0.25">
      <c r="A8" s="247" t="str">
        <f>IF(OR($D$11=$W$2,$D$136=$W$2,$D$201=$W$2),"","Renseigner l'un des BP")</f>
        <v>Renseigner l'un des BP</v>
      </c>
      <c r="F8" s="599"/>
      <c r="G8" s="600"/>
      <c r="H8" s="600"/>
      <c r="I8" s="600"/>
      <c r="J8" s="600"/>
      <c r="K8" s="600"/>
      <c r="L8" s="600"/>
      <c r="M8" s="600"/>
      <c r="N8" s="600"/>
      <c r="O8" s="600"/>
      <c r="P8" s="600"/>
      <c r="Q8" s="600"/>
      <c r="R8" s="601"/>
    </row>
    <row r="9" spans="1:24" ht="19.5" customHeight="1" thickBot="1" x14ac:dyDescent="0.3">
      <c r="F9" s="602"/>
      <c r="G9" s="603"/>
      <c r="H9" s="603"/>
      <c r="I9" s="603"/>
      <c r="J9" s="603"/>
      <c r="K9" s="603"/>
      <c r="L9" s="603"/>
      <c r="M9" s="603"/>
      <c r="N9" s="603"/>
      <c r="O9" s="603"/>
      <c r="P9" s="603"/>
      <c r="Q9" s="603"/>
      <c r="R9" s="604"/>
    </row>
    <row r="10" spans="1:24" ht="16.5" thickTop="1" thickBot="1" x14ac:dyDescent="0.3">
      <c r="F10" s="91" t="str">
        <f>IF(AND(D11="OUI",OR(D136="OUI",D201="OUI")),"Plusieurs BP producteurs et/ou distributeurs sont renseignés","")</f>
        <v/>
      </c>
    </row>
    <row r="11" spans="1:24" s="265" customFormat="1" ht="39" customHeight="1" thickBot="1" x14ac:dyDescent="0.3">
      <c r="A11" s="260" t="s">
        <v>182</v>
      </c>
      <c r="B11" s="261"/>
      <c r="C11" s="261"/>
      <c r="D11" s="580" t="s">
        <v>179</v>
      </c>
      <c r="E11" s="581"/>
      <c r="F11" s="261"/>
      <c r="G11" s="262"/>
      <c r="H11" s="263"/>
      <c r="I11" s="263"/>
      <c r="J11" s="263"/>
      <c r="K11" s="262"/>
      <c r="L11" s="262"/>
      <c r="M11" s="262"/>
      <c r="N11" s="262"/>
      <c r="O11" s="262"/>
      <c r="P11" s="262"/>
      <c r="Q11" s="262"/>
      <c r="R11" s="262"/>
      <c r="S11" s="262"/>
      <c r="T11" s="262"/>
      <c r="U11" s="262"/>
      <c r="V11" s="262"/>
      <c r="W11" s="262"/>
      <c r="X11" s="262"/>
    </row>
    <row r="12" spans="1:24" ht="15.75" hidden="1" outlineLevel="1" thickBot="1" x14ac:dyDescent="0.3">
      <c r="G12" s="121" t="s">
        <v>195</v>
      </c>
    </row>
    <row r="13" spans="1:24" hidden="1" outlineLevel="1" x14ac:dyDescent="0.25">
      <c r="A13" s="561" t="s">
        <v>183</v>
      </c>
      <c r="B13" s="564" t="s">
        <v>238</v>
      </c>
      <c r="C13" s="564"/>
      <c r="D13" s="564"/>
      <c r="E13" s="588"/>
      <c r="F13" s="589"/>
      <c r="G13" s="119"/>
    </row>
    <row r="14" spans="1:24" hidden="1" outlineLevel="1" x14ac:dyDescent="0.25">
      <c r="A14" s="562"/>
      <c r="B14" s="575" t="s">
        <v>73</v>
      </c>
      <c r="C14" s="575"/>
      <c r="D14" s="575"/>
      <c r="E14" s="590"/>
      <c r="F14" s="591"/>
      <c r="G14" s="120">
        <v>0.28000000000000003</v>
      </c>
    </row>
    <row r="15" spans="1:24" hidden="1" outlineLevel="1" x14ac:dyDescent="0.25">
      <c r="A15" s="562"/>
      <c r="B15" s="575" t="s">
        <v>184</v>
      </c>
      <c r="C15" s="575"/>
      <c r="D15" s="575"/>
      <c r="E15" s="592"/>
      <c r="F15" s="593"/>
      <c r="G15" s="116"/>
    </row>
    <row r="16" spans="1:24" hidden="1" outlineLevel="1" x14ac:dyDescent="0.25">
      <c r="A16" s="562"/>
      <c r="B16" s="575" t="s">
        <v>185</v>
      </c>
      <c r="C16" s="575"/>
      <c r="D16" s="575"/>
      <c r="E16" s="590"/>
      <c r="F16" s="591"/>
      <c r="G16" s="117">
        <f>Sources!C$10</f>
        <v>1.9400000000000001E-2</v>
      </c>
    </row>
    <row r="17" spans="1:25" hidden="1" outlineLevel="1" x14ac:dyDescent="0.25">
      <c r="A17" s="562"/>
      <c r="B17" s="575" t="s">
        <v>186</v>
      </c>
      <c r="C17" s="575"/>
      <c r="D17" s="575"/>
      <c r="E17" s="594"/>
      <c r="F17" s="595"/>
      <c r="G17" s="116"/>
    </row>
    <row r="18" spans="1:25" hidden="1" outlineLevel="1" x14ac:dyDescent="0.25">
      <c r="A18" s="562"/>
      <c r="B18" s="575" t="s">
        <v>187</v>
      </c>
      <c r="C18" s="575"/>
      <c r="D18" s="575"/>
      <c r="E18" s="576"/>
      <c r="F18" s="577"/>
      <c r="G18" s="116"/>
    </row>
    <row r="19" spans="1:25" ht="15.75" hidden="1" outlineLevel="1" thickBot="1" x14ac:dyDescent="0.3">
      <c r="A19" s="563"/>
      <c r="B19" s="560" t="s">
        <v>192</v>
      </c>
      <c r="C19" s="560"/>
      <c r="D19" s="560"/>
      <c r="E19" s="578"/>
      <c r="F19" s="579"/>
      <c r="G19" s="118"/>
    </row>
    <row r="20" spans="1:25" hidden="1" outlineLevel="1" x14ac:dyDescent="0.25"/>
    <row r="21" spans="1:25" hidden="1" outlineLevel="1" x14ac:dyDescent="0.25">
      <c r="A21" s="95" t="s">
        <v>82</v>
      </c>
      <c r="B21" s="129"/>
      <c r="C21" s="122"/>
      <c r="D21" s="96">
        <v>0</v>
      </c>
      <c r="E21" s="96">
        <v>1</v>
      </c>
      <c r="F21" s="96">
        <v>2</v>
      </c>
      <c r="G21" s="96">
        <v>3</v>
      </c>
      <c r="H21" s="96">
        <v>4</v>
      </c>
      <c r="I21" s="96">
        <v>5</v>
      </c>
      <c r="J21" s="96">
        <v>6</v>
      </c>
      <c r="K21" s="96">
        <v>7</v>
      </c>
      <c r="L21" s="96">
        <v>8</v>
      </c>
      <c r="M21" s="96">
        <v>9</v>
      </c>
      <c r="N21" s="96">
        <v>10</v>
      </c>
      <c r="O21" s="96">
        <v>11</v>
      </c>
      <c r="P21" s="96">
        <v>12</v>
      </c>
      <c r="Q21" s="96">
        <v>13</v>
      </c>
      <c r="R21" s="96">
        <v>14</v>
      </c>
      <c r="S21" s="96">
        <v>15</v>
      </c>
      <c r="T21" s="96">
        <v>16</v>
      </c>
      <c r="U21" s="96">
        <v>17</v>
      </c>
      <c r="V21" s="96">
        <v>18</v>
      </c>
      <c r="W21" s="96">
        <v>19</v>
      </c>
      <c r="X21" s="96">
        <v>20</v>
      </c>
    </row>
    <row r="22" spans="1:25" hidden="1" outlineLevel="1" x14ac:dyDescent="0.25"/>
    <row r="23" spans="1:25" s="149" customFormat="1" hidden="1" outlineLevel="1" x14ac:dyDescent="0.25">
      <c r="A23" s="95" t="s">
        <v>205</v>
      </c>
      <c r="B23" s="146"/>
      <c r="C23" s="147">
        <f>C24-C25-C26</f>
        <v>0</v>
      </c>
      <c r="D23" s="97">
        <f>D24-D25-D26</f>
        <v>0</v>
      </c>
      <c r="E23" s="97">
        <f t="shared" ref="E23:X23" si="0">E24-E25-E26</f>
        <v>0</v>
      </c>
      <c r="F23" s="97">
        <f t="shared" si="0"/>
        <v>0</v>
      </c>
      <c r="G23" s="97">
        <f t="shared" si="0"/>
        <v>0</v>
      </c>
      <c r="H23" s="97">
        <f t="shared" si="0"/>
        <v>0</v>
      </c>
      <c r="I23" s="97">
        <f t="shared" si="0"/>
        <v>0</v>
      </c>
      <c r="J23" s="97">
        <f t="shared" si="0"/>
        <v>0</v>
      </c>
      <c r="K23" s="97">
        <f t="shared" si="0"/>
        <v>0</v>
      </c>
      <c r="L23" s="97">
        <f t="shared" si="0"/>
        <v>0</v>
      </c>
      <c r="M23" s="97">
        <f t="shared" si="0"/>
        <v>0</v>
      </c>
      <c r="N23" s="97">
        <f t="shared" si="0"/>
        <v>0</v>
      </c>
      <c r="O23" s="97">
        <f t="shared" si="0"/>
        <v>0</v>
      </c>
      <c r="P23" s="97">
        <f t="shared" si="0"/>
        <v>0</v>
      </c>
      <c r="Q23" s="97">
        <f t="shared" si="0"/>
        <v>0</v>
      </c>
      <c r="R23" s="97">
        <f t="shared" si="0"/>
        <v>0</v>
      </c>
      <c r="S23" s="97">
        <f t="shared" si="0"/>
        <v>0</v>
      </c>
      <c r="T23" s="97">
        <f t="shared" si="0"/>
        <v>0</v>
      </c>
      <c r="U23" s="97">
        <f t="shared" si="0"/>
        <v>0</v>
      </c>
      <c r="V23" s="97">
        <f t="shared" si="0"/>
        <v>0</v>
      </c>
      <c r="W23" s="97">
        <f t="shared" si="0"/>
        <v>0</v>
      </c>
      <c r="X23" s="97">
        <f t="shared" si="0"/>
        <v>0</v>
      </c>
      <c r="Y23" s="148"/>
    </row>
    <row r="24" spans="1:25" hidden="1" outlineLevel="1" x14ac:dyDescent="0.25">
      <c r="A24" s="45" t="s">
        <v>206</v>
      </c>
      <c r="B24" s="137"/>
      <c r="C24" s="138">
        <f>SUM(D24:X24)</f>
        <v>0</v>
      </c>
      <c r="D24" s="211"/>
      <c r="E24" s="211"/>
      <c r="F24" s="211"/>
      <c r="G24" s="211"/>
      <c r="H24" s="211"/>
      <c r="I24" s="211"/>
      <c r="J24" s="211"/>
      <c r="K24" s="211"/>
      <c r="L24" s="211"/>
      <c r="M24" s="211"/>
      <c r="N24" s="211"/>
      <c r="O24" s="211"/>
      <c r="P24" s="211"/>
      <c r="Q24" s="211"/>
      <c r="R24" s="211"/>
      <c r="S24" s="211"/>
      <c r="T24" s="211"/>
      <c r="U24" s="211"/>
      <c r="V24" s="211"/>
      <c r="W24" s="211"/>
      <c r="X24" s="211"/>
      <c r="Y24" s="91"/>
    </row>
    <row r="25" spans="1:25" hidden="1" outlineLevel="1" x14ac:dyDescent="0.25">
      <c r="A25" s="102" t="s">
        <v>145</v>
      </c>
      <c r="B25" s="137"/>
      <c r="C25" s="138">
        <f>SUM(D25:X25)</f>
        <v>0</v>
      </c>
      <c r="D25" s="212"/>
      <c r="E25" s="212"/>
      <c r="F25" s="212"/>
      <c r="G25" s="212"/>
      <c r="H25" s="212"/>
      <c r="I25" s="212"/>
      <c r="J25" s="212"/>
      <c r="K25" s="212"/>
      <c r="L25" s="212"/>
      <c r="M25" s="212"/>
      <c r="N25" s="212"/>
      <c r="O25" s="212"/>
      <c r="P25" s="212"/>
      <c r="Q25" s="212"/>
      <c r="R25" s="212"/>
      <c r="S25" s="212"/>
      <c r="T25" s="212"/>
      <c r="U25" s="212"/>
      <c r="V25" s="212"/>
      <c r="W25" s="212"/>
      <c r="X25" s="212"/>
      <c r="Y25" s="91"/>
    </row>
    <row r="26" spans="1:25" hidden="1" outlineLevel="1" x14ac:dyDescent="0.25">
      <c r="A26" s="45" t="s">
        <v>146</v>
      </c>
      <c r="B26" s="135"/>
      <c r="C26" s="138">
        <f>SUM(D26:X26)</f>
        <v>0</v>
      </c>
      <c r="D26" s="211"/>
      <c r="E26" s="211"/>
      <c r="F26" s="211"/>
      <c r="G26" s="211"/>
      <c r="H26" s="211"/>
      <c r="I26" s="211"/>
      <c r="J26" s="211"/>
      <c r="K26" s="211"/>
      <c r="L26" s="211"/>
      <c r="M26" s="211"/>
      <c r="N26" s="211"/>
      <c r="O26" s="211"/>
      <c r="P26" s="211"/>
      <c r="Q26" s="211"/>
      <c r="R26" s="211"/>
      <c r="S26" s="211"/>
      <c r="T26" s="211"/>
      <c r="U26" s="211"/>
      <c r="V26" s="211"/>
      <c r="W26" s="211"/>
      <c r="X26" s="211"/>
    </row>
    <row r="27" spans="1:25" hidden="1" outlineLevel="1" x14ac:dyDescent="0.25">
      <c r="D27" s="54"/>
      <c r="E27" s="54"/>
      <c r="F27" s="54"/>
      <c r="G27" s="54"/>
      <c r="H27" s="54"/>
      <c r="I27" s="54"/>
      <c r="J27" s="54"/>
      <c r="K27" s="54"/>
      <c r="L27" s="54"/>
      <c r="M27" s="54"/>
      <c r="N27" s="54"/>
      <c r="O27" s="54"/>
      <c r="P27" s="54"/>
      <c r="Q27" s="54"/>
      <c r="R27" s="54"/>
      <c r="S27" s="54"/>
      <c r="T27" s="54"/>
      <c r="U27" s="54"/>
      <c r="V27" s="54"/>
      <c r="W27" s="54"/>
      <c r="X27" s="54"/>
    </row>
    <row r="28" spans="1:25" hidden="1" outlineLevel="1" x14ac:dyDescent="0.25">
      <c r="A28" s="95" t="s">
        <v>138</v>
      </c>
      <c r="B28" s="129"/>
      <c r="C28" s="122"/>
      <c r="D28" s="97">
        <f t="shared" ref="D28:X28" si="1">D29+D93+D115</f>
        <v>0</v>
      </c>
      <c r="E28" s="97">
        <f t="shared" si="1"/>
        <v>0</v>
      </c>
      <c r="F28" s="97">
        <f t="shared" si="1"/>
        <v>0</v>
      </c>
      <c r="G28" s="97">
        <f t="shared" si="1"/>
        <v>0</v>
      </c>
      <c r="H28" s="97">
        <f t="shared" si="1"/>
        <v>0</v>
      </c>
      <c r="I28" s="97">
        <f t="shared" si="1"/>
        <v>0</v>
      </c>
      <c r="J28" s="97">
        <f t="shared" si="1"/>
        <v>0</v>
      </c>
      <c r="K28" s="97">
        <f t="shared" si="1"/>
        <v>0</v>
      </c>
      <c r="L28" s="97">
        <f t="shared" si="1"/>
        <v>0</v>
      </c>
      <c r="M28" s="97">
        <f t="shared" si="1"/>
        <v>0</v>
      </c>
      <c r="N28" s="97">
        <f t="shared" si="1"/>
        <v>0</v>
      </c>
      <c r="O28" s="97">
        <f t="shared" si="1"/>
        <v>0</v>
      </c>
      <c r="P28" s="97">
        <f t="shared" si="1"/>
        <v>0</v>
      </c>
      <c r="Q28" s="97">
        <f t="shared" si="1"/>
        <v>0</v>
      </c>
      <c r="R28" s="97">
        <f t="shared" si="1"/>
        <v>0</v>
      </c>
      <c r="S28" s="97">
        <f t="shared" si="1"/>
        <v>0</v>
      </c>
      <c r="T28" s="97">
        <f t="shared" si="1"/>
        <v>0</v>
      </c>
      <c r="U28" s="97">
        <f t="shared" si="1"/>
        <v>0</v>
      </c>
      <c r="V28" s="97">
        <f t="shared" si="1"/>
        <v>0</v>
      </c>
      <c r="W28" s="97">
        <f t="shared" si="1"/>
        <v>0</v>
      </c>
      <c r="X28" s="97">
        <f t="shared" si="1"/>
        <v>0</v>
      </c>
    </row>
    <row r="29" spans="1:25" hidden="1" outlineLevel="1" x14ac:dyDescent="0.25">
      <c r="A29" s="92" t="s">
        <v>139</v>
      </c>
      <c r="B29" s="93"/>
      <c r="C29" s="123"/>
      <c r="D29" s="94">
        <f t="shared" ref="D29:X29" si="2">D32+D35+D38+D41+D44+D47+D50+D53+D56+D59+D91</f>
        <v>0</v>
      </c>
      <c r="E29" s="94">
        <f t="shared" si="2"/>
        <v>0</v>
      </c>
      <c r="F29" s="94">
        <f t="shared" si="2"/>
        <v>0</v>
      </c>
      <c r="G29" s="94">
        <f t="shared" si="2"/>
        <v>0</v>
      </c>
      <c r="H29" s="94">
        <f t="shared" si="2"/>
        <v>0</v>
      </c>
      <c r="I29" s="94">
        <f t="shared" si="2"/>
        <v>0</v>
      </c>
      <c r="J29" s="94">
        <f t="shared" si="2"/>
        <v>0</v>
      </c>
      <c r="K29" s="94">
        <f t="shared" si="2"/>
        <v>0</v>
      </c>
      <c r="L29" s="94">
        <f t="shared" si="2"/>
        <v>0</v>
      </c>
      <c r="M29" s="94">
        <f t="shared" si="2"/>
        <v>0</v>
      </c>
      <c r="N29" s="94">
        <f t="shared" si="2"/>
        <v>0</v>
      </c>
      <c r="O29" s="94">
        <f t="shared" si="2"/>
        <v>0</v>
      </c>
      <c r="P29" s="94">
        <f t="shared" si="2"/>
        <v>0</v>
      </c>
      <c r="Q29" s="94">
        <f t="shared" si="2"/>
        <v>0</v>
      </c>
      <c r="R29" s="94">
        <f t="shared" si="2"/>
        <v>0</v>
      </c>
      <c r="S29" s="94">
        <f t="shared" si="2"/>
        <v>0</v>
      </c>
      <c r="T29" s="94">
        <f t="shared" si="2"/>
        <v>0</v>
      </c>
      <c r="U29" s="94">
        <f t="shared" si="2"/>
        <v>0</v>
      </c>
      <c r="V29" s="94">
        <f t="shared" si="2"/>
        <v>0</v>
      </c>
      <c r="W29" s="94">
        <f t="shared" si="2"/>
        <v>0</v>
      </c>
      <c r="X29" s="94">
        <f t="shared" si="2"/>
        <v>0</v>
      </c>
    </row>
    <row r="30" spans="1:25" hidden="1" outlineLevel="2" x14ac:dyDescent="0.25">
      <c r="A30" s="555" t="str">
        <f>Hypothèses!A9</f>
        <v>Véhicule n°1</v>
      </c>
      <c r="B30" s="130" t="s">
        <v>65</v>
      </c>
      <c r="C30" s="124"/>
      <c r="D30" s="50"/>
      <c r="E30" s="213"/>
      <c r="F30" s="213"/>
      <c r="G30" s="213"/>
      <c r="H30" s="213"/>
      <c r="I30" s="213"/>
      <c r="J30" s="213"/>
      <c r="K30" s="213"/>
      <c r="L30" s="213"/>
      <c r="M30" s="213"/>
      <c r="N30" s="213"/>
      <c r="O30" s="213"/>
      <c r="P30" s="213"/>
      <c r="Q30" s="213"/>
      <c r="R30" s="213"/>
      <c r="S30" s="213"/>
      <c r="T30" s="213"/>
      <c r="U30" s="213"/>
      <c r="V30" s="213"/>
      <c r="W30" s="213"/>
      <c r="X30" s="213"/>
    </row>
    <row r="31" spans="1:25" hidden="1" outlineLevel="2" x14ac:dyDescent="0.25">
      <c r="A31" s="556"/>
      <c r="B31" s="46" t="s">
        <v>140</v>
      </c>
      <c r="C31" s="46"/>
      <c r="D31" s="87"/>
      <c r="E31" s="52">
        <f>E30*VLOOKUP($A30,Hypothèses!$A$9:$H$28,6,FALSE)</f>
        <v>0</v>
      </c>
      <c r="F31" s="52">
        <f>F30*VLOOKUP($A30,Hypothèses!$A$9:$H$28,6,FALSE)</f>
        <v>0</v>
      </c>
      <c r="G31" s="52">
        <f>G30*VLOOKUP($A30,Hypothèses!$A$9:$H$28,6,FALSE)</f>
        <v>0</v>
      </c>
      <c r="H31" s="52">
        <f>H30*VLOOKUP($A30,Hypothèses!$A$9:$H$28,6,FALSE)</f>
        <v>0</v>
      </c>
      <c r="I31" s="52">
        <f>I30*VLOOKUP($A30,Hypothèses!$A$9:$H$28,6,FALSE)</f>
        <v>0</v>
      </c>
      <c r="J31" s="52">
        <f>J30*VLOOKUP($A30,Hypothèses!$A$9:$H$28,6,FALSE)</f>
        <v>0</v>
      </c>
      <c r="K31" s="52">
        <f>K30*VLOOKUP($A30,Hypothèses!$A$9:$H$28,6,FALSE)</f>
        <v>0</v>
      </c>
      <c r="L31" s="52">
        <f>L30*VLOOKUP($A30,Hypothèses!$A$9:$H$28,6,FALSE)</f>
        <v>0</v>
      </c>
      <c r="M31" s="52">
        <f>M30*VLOOKUP($A30,Hypothèses!$A$9:$H$28,6,FALSE)</f>
        <v>0</v>
      </c>
      <c r="N31" s="52">
        <f>N30*VLOOKUP($A30,Hypothèses!$A$9:$H$28,6,FALSE)</f>
        <v>0</v>
      </c>
      <c r="O31" s="52">
        <f>O30*VLOOKUP($A30,Hypothèses!$A$9:$H$28,6,FALSE)</f>
        <v>0</v>
      </c>
      <c r="P31" s="52">
        <f>P30*VLOOKUP($A30,Hypothèses!$A$9:$H$28,6,FALSE)</f>
        <v>0</v>
      </c>
      <c r="Q31" s="52">
        <f>Q30*VLOOKUP($A30,Hypothèses!$A$9:$H$28,6,FALSE)</f>
        <v>0</v>
      </c>
      <c r="R31" s="52">
        <f>R30*VLOOKUP($A30,Hypothèses!$A$9:$H$28,6,FALSE)</f>
        <v>0</v>
      </c>
      <c r="S31" s="52">
        <f>S30*VLOOKUP($A30,Hypothèses!$A$9:$H$28,6,FALSE)</f>
        <v>0</v>
      </c>
      <c r="T31" s="52">
        <f>T30*VLOOKUP($A30,Hypothèses!$A$9:$H$28,6,FALSE)</f>
        <v>0</v>
      </c>
      <c r="U31" s="52">
        <f>U30*VLOOKUP($A30,Hypothèses!$A$9:$H$28,6,FALSE)</f>
        <v>0</v>
      </c>
      <c r="V31" s="52">
        <f>V30*VLOOKUP($A30,Hypothèses!$A$9:$H$28,6,FALSE)</f>
        <v>0</v>
      </c>
      <c r="W31" s="52">
        <f>W30*VLOOKUP($A30,Hypothèses!$A$9:$H$28,6,FALSE)</f>
        <v>0</v>
      </c>
      <c r="X31" s="52">
        <f>X30*VLOOKUP($A30,Hypothèses!$A$9:$H$28,6,FALSE)</f>
        <v>0</v>
      </c>
    </row>
    <row r="32" spans="1:25" hidden="1" outlineLevel="2" x14ac:dyDescent="0.25">
      <c r="A32" s="557"/>
      <c r="B32" s="46" t="s">
        <v>138</v>
      </c>
      <c r="C32" s="46"/>
      <c r="D32" s="48"/>
      <c r="E32" s="52">
        <f>E31*VLOOKUP($A30,Hypothèses!$A$9:$H$28,8,FALSE)*(1+$E$19)^(E$21-1)/1000</f>
        <v>0</v>
      </c>
      <c r="F32" s="52">
        <f>F31*VLOOKUP($A30,Hypothèses!$A$9:$H$28,8,FALSE)*(1+$E$19)^(F$21-1)/1000</f>
        <v>0</v>
      </c>
      <c r="G32" s="52">
        <f>G31*VLOOKUP($A30,Hypothèses!$A$9:$H$28,8,FALSE)*(1+$E$19)^(G$21-1)/1000</f>
        <v>0</v>
      </c>
      <c r="H32" s="52">
        <f>H31*VLOOKUP($A30,Hypothèses!$A$9:$H$28,8,FALSE)*(1+$E$19)^(H$21-1)/1000</f>
        <v>0</v>
      </c>
      <c r="I32" s="52">
        <f>I31*VLOOKUP($A30,Hypothèses!$A$9:$H$28,8,FALSE)*(1+$E$19)^(I$21-1)/1000</f>
        <v>0</v>
      </c>
      <c r="J32" s="52">
        <f>J31*VLOOKUP($A30,Hypothèses!$A$9:$H$28,8,FALSE)*(1+$E$19)^(J$21-1)/1000</f>
        <v>0</v>
      </c>
      <c r="K32" s="52">
        <f>K31*VLOOKUP($A30,Hypothèses!$A$9:$H$28,8,FALSE)*(1+$E$19)^(K$21-1)/1000</f>
        <v>0</v>
      </c>
      <c r="L32" s="52">
        <f>L31*VLOOKUP($A30,Hypothèses!$A$9:$H$28,8,FALSE)*(1+$E$19)^(L$21-1)/1000</f>
        <v>0</v>
      </c>
      <c r="M32" s="52">
        <f>M31*VLOOKUP($A30,Hypothèses!$A$9:$H$28,8,FALSE)*(1+$E$19)^(M$21-1)/1000</f>
        <v>0</v>
      </c>
      <c r="N32" s="52">
        <f>N31*VLOOKUP($A30,Hypothèses!$A$9:$H$28,8,FALSE)*(1+$E$19)^(N$21-1)/1000</f>
        <v>0</v>
      </c>
      <c r="O32" s="52">
        <f>O31*VLOOKUP($A30,Hypothèses!$A$9:$H$28,8,FALSE)*(1+$E$19)^(O$21-1)/1000</f>
        <v>0</v>
      </c>
      <c r="P32" s="52">
        <f>P31*VLOOKUP($A30,Hypothèses!$A$9:$H$28,8,FALSE)*(1+$E$19)^(P$21-1)/1000</f>
        <v>0</v>
      </c>
      <c r="Q32" s="52">
        <f>Q31*VLOOKUP($A30,Hypothèses!$A$9:$H$28,8,FALSE)*(1+$E$19)^(Q$21-1)/1000</f>
        <v>0</v>
      </c>
      <c r="R32" s="52">
        <f>R31*VLOOKUP($A30,Hypothèses!$A$9:$H$28,8,FALSE)*(1+$E$19)^(R$21-1)/1000</f>
        <v>0</v>
      </c>
      <c r="S32" s="52">
        <f>S31*VLOOKUP($A30,Hypothèses!$A$9:$H$28,8,FALSE)*(1+$E$19)^(S$21-1)/1000</f>
        <v>0</v>
      </c>
      <c r="T32" s="52">
        <f>T31*VLOOKUP($A30,Hypothèses!$A$9:$H$28,8,FALSE)*(1+$E$19)^(T$21-1)/1000</f>
        <v>0</v>
      </c>
      <c r="U32" s="52">
        <f>U31*VLOOKUP($A30,Hypothèses!$A$9:$H$28,8,FALSE)*(1+$E$19)^(U$21-1)/1000</f>
        <v>0</v>
      </c>
      <c r="V32" s="52">
        <f>V31*VLOOKUP($A30,Hypothèses!$A$9:$H$28,8,FALSE)*(1+$E$19)^(V$21-1)/1000</f>
        <v>0</v>
      </c>
      <c r="W32" s="52">
        <f>W31*VLOOKUP($A30,Hypothèses!$A$9:$H$28,8,FALSE)*(1+$E$19)^(W$21-1)/1000</f>
        <v>0</v>
      </c>
      <c r="X32" s="52">
        <f>X31*VLOOKUP($A30,Hypothèses!$A$9:$H$28,8,FALSE)*(1+$E$19)^(X$21-1)/1000</f>
        <v>0</v>
      </c>
    </row>
    <row r="33" spans="1:24" hidden="1" outlineLevel="2" x14ac:dyDescent="0.25">
      <c r="A33" s="555" t="str">
        <f>Hypothèses!A10</f>
        <v>Véhicule n°2</v>
      </c>
      <c r="B33" s="130" t="s">
        <v>65</v>
      </c>
      <c r="C33" s="124"/>
      <c r="D33" s="50"/>
      <c r="E33" s="213"/>
      <c r="F33" s="213"/>
      <c r="G33" s="213"/>
      <c r="H33" s="213"/>
      <c r="I33" s="213"/>
      <c r="J33" s="213"/>
      <c r="K33" s="213"/>
      <c r="L33" s="213"/>
      <c r="M33" s="213"/>
      <c r="N33" s="213"/>
      <c r="O33" s="213"/>
      <c r="P33" s="213"/>
      <c r="Q33" s="213"/>
      <c r="R33" s="213"/>
      <c r="S33" s="213"/>
      <c r="T33" s="213"/>
      <c r="U33" s="213"/>
      <c r="V33" s="213"/>
      <c r="W33" s="213"/>
      <c r="X33" s="213"/>
    </row>
    <row r="34" spans="1:24" hidden="1" outlineLevel="2" x14ac:dyDescent="0.25">
      <c r="A34" s="556"/>
      <c r="B34" s="46" t="s">
        <v>140</v>
      </c>
      <c r="C34" s="46"/>
      <c r="D34" s="87"/>
      <c r="E34" s="52">
        <f>E33*VLOOKUP($A33,Hypothèses!$A$9:$H$28,6,FALSE)</f>
        <v>0</v>
      </c>
      <c r="F34" s="52">
        <f>F33*VLOOKUP($A33,Hypothèses!$A$9:$H$28,6,FALSE)</f>
        <v>0</v>
      </c>
      <c r="G34" s="52">
        <f>G33*VLOOKUP($A33,Hypothèses!$A$9:$H$28,6,FALSE)</f>
        <v>0</v>
      </c>
      <c r="H34" s="52">
        <f>H33*VLOOKUP($A33,Hypothèses!$A$9:$H$28,6,FALSE)</f>
        <v>0</v>
      </c>
      <c r="I34" s="52">
        <f>I33*VLOOKUP($A33,Hypothèses!$A$9:$H$28,6,FALSE)</f>
        <v>0</v>
      </c>
      <c r="J34" s="52">
        <f>J33*VLOOKUP($A33,Hypothèses!$A$9:$H$28,6,FALSE)</f>
        <v>0</v>
      </c>
      <c r="K34" s="52">
        <f>K33*VLOOKUP($A33,Hypothèses!$A$9:$H$28,6,FALSE)</f>
        <v>0</v>
      </c>
      <c r="L34" s="52">
        <f>L33*VLOOKUP($A33,Hypothèses!$A$9:$H$28,6,FALSE)</f>
        <v>0</v>
      </c>
      <c r="M34" s="52">
        <f>M33*VLOOKUP($A33,Hypothèses!$A$9:$H$28,6,FALSE)</f>
        <v>0</v>
      </c>
      <c r="N34" s="52">
        <f>N33*VLOOKUP($A33,Hypothèses!$A$9:$H$28,6,FALSE)</f>
        <v>0</v>
      </c>
      <c r="O34" s="52">
        <f>O33*VLOOKUP($A33,Hypothèses!$A$9:$H$28,6,FALSE)</f>
        <v>0</v>
      </c>
      <c r="P34" s="52">
        <f>P33*VLOOKUP($A33,Hypothèses!$A$9:$H$28,6,FALSE)</f>
        <v>0</v>
      </c>
      <c r="Q34" s="52">
        <f>Q33*VLOOKUP($A33,Hypothèses!$A$9:$H$28,6,FALSE)</f>
        <v>0</v>
      </c>
      <c r="R34" s="52">
        <f>R33*VLOOKUP($A33,Hypothèses!$A$9:$H$28,6,FALSE)</f>
        <v>0</v>
      </c>
      <c r="S34" s="52">
        <f>S33*VLOOKUP($A33,Hypothèses!$A$9:$H$28,6,FALSE)</f>
        <v>0</v>
      </c>
      <c r="T34" s="52">
        <f>T33*VLOOKUP($A33,Hypothèses!$A$9:$H$28,6,FALSE)</f>
        <v>0</v>
      </c>
      <c r="U34" s="52">
        <f>U33*VLOOKUP($A33,Hypothèses!$A$9:$H$28,6,FALSE)</f>
        <v>0</v>
      </c>
      <c r="V34" s="52">
        <f>V33*VLOOKUP($A33,Hypothèses!$A$9:$H$28,6,FALSE)</f>
        <v>0</v>
      </c>
      <c r="W34" s="52">
        <f>W33*VLOOKUP($A33,Hypothèses!$A$9:$H$28,6,FALSE)</f>
        <v>0</v>
      </c>
      <c r="X34" s="52">
        <f>X33*VLOOKUP($A33,Hypothèses!$A$9:$H$28,6,FALSE)</f>
        <v>0</v>
      </c>
    </row>
    <row r="35" spans="1:24" hidden="1" outlineLevel="2" x14ac:dyDescent="0.25">
      <c r="A35" s="557"/>
      <c r="B35" s="46" t="s">
        <v>138</v>
      </c>
      <c r="C35" s="46"/>
      <c r="D35" s="48"/>
      <c r="E35" s="52">
        <f>E34*VLOOKUP($A33,Hypothèses!$A$9:$H$28,8,FALSE)*(1+$E$19)^(E$21-1)/1000</f>
        <v>0</v>
      </c>
      <c r="F35" s="52">
        <f>F34*VLOOKUP($A33,Hypothèses!$A$9:$H$28,8,FALSE)*(1+$E$19)^(F$21-1)/1000</f>
        <v>0</v>
      </c>
      <c r="G35" s="52">
        <f>G34*VLOOKUP($A33,Hypothèses!$A$9:$H$28,8,FALSE)*(1+$E$19)^(G$21-1)/1000</f>
        <v>0</v>
      </c>
      <c r="H35" s="52">
        <f>H34*VLOOKUP($A33,Hypothèses!$A$9:$H$28,8,FALSE)*(1+$E$19)^(H$21-1)/1000</f>
        <v>0</v>
      </c>
      <c r="I35" s="52">
        <f>I34*VLOOKUP($A33,Hypothèses!$A$9:$H$28,8,FALSE)*(1+$E$19)^(I$21-1)/1000</f>
        <v>0</v>
      </c>
      <c r="J35" s="52">
        <f>J34*VLOOKUP($A33,Hypothèses!$A$9:$H$28,8,FALSE)*(1+$E$19)^(J$21-1)/1000</f>
        <v>0</v>
      </c>
      <c r="K35" s="52">
        <f>K34*VLOOKUP($A33,Hypothèses!$A$9:$H$28,8,FALSE)*(1+$E$19)^(K$21-1)/1000</f>
        <v>0</v>
      </c>
      <c r="L35" s="52">
        <f>L34*VLOOKUP($A33,Hypothèses!$A$9:$H$28,8,FALSE)*(1+$E$19)^(L$21-1)/1000</f>
        <v>0</v>
      </c>
      <c r="M35" s="52">
        <f>M34*VLOOKUP($A33,Hypothèses!$A$9:$H$28,8,FALSE)*(1+$E$19)^(M$21-1)/1000</f>
        <v>0</v>
      </c>
      <c r="N35" s="52">
        <f>N34*VLOOKUP($A33,Hypothèses!$A$9:$H$28,8,FALSE)*(1+$E$19)^(N$21-1)/1000</f>
        <v>0</v>
      </c>
      <c r="O35" s="52">
        <f>O34*VLOOKUP($A33,Hypothèses!$A$9:$H$28,8,FALSE)*(1+$E$19)^(O$21-1)/1000</f>
        <v>0</v>
      </c>
      <c r="P35" s="52">
        <f>P34*VLOOKUP($A33,Hypothèses!$A$9:$H$28,8,FALSE)*(1+$E$19)^(P$21-1)/1000</f>
        <v>0</v>
      </c>
      <c r="Q35" s="52">
        <f>Q34*VLOOKUP($A33,Hypothèses!$A$9:$H$28,8,FALSE)*(1+$E$19)^(Q$21-1)/1000</f>
        <v>0</v>
      </c>
      <c r="R35" s="52">
        <f>R34*VLOOKUP($A33,Hypothèses!$A$9:$H$28,8,FALSE)*(1+$E$19)^(R$21-1)/1000</f>
        <v>0</v>
      </c>
      <c r="S35" s="52">
        <f>S34*VLOOKUP($A33,Hypothèses!$A$9:$H$28,8,FALSE)*(1+$E$19)^(S$21-1)/1000</f>
        <v>0</v>
      </c>
      <c r="T35" s="52">
        <f>T34*VLOOKUP($A33,Hypothèses!$A$9:$H$28,8,FALSE)*(1+$E$19)^(T$21-1)/1000</f>
        <v>0</v>
      </c>
      <c r="U35" s="52">
        <f>U34*VLOOKUP($A33,Hypothèses!$A$9:$H$28,8,FALSE)*(1+$E$19)^(U$21-1)/1000</f>
        <v>0</v>
      </c>
      <c r="V35" s="52">
        <f>V34*VLOOKUP($A33,Hypothèses!$A$9:$H$28,8,FALSE)*(1+$E$19)^(V$21-1)/1000</f>
        <v>0</v>
      </c>
      <c r="W35" s="52">
        <f>W34*VLOOKUP($A33,Hypothèses!$A$9:$H$28,8,FALSE)*(1+$E$19)^(W$21-1)/1000</f>
        <v>0</v>
      </c>
      <c r="X35" s="52">
        <f>X34*VLOOKUP($A33,Hypothèses!$A$9:$H$28,8,FALSE)*(1+$E$19)^(X$21-1)/1000</f>
        <v>0</v>
      </c>
    </row>
    <row r="36" spans="1:24" hidden="1" outlineLevel="2" x14ac:dyDescent="0.25">
      <c r="A36" s="555" t="str">
        <f>Hypothèses!A11</f>
        <v>Véhicule n°3</v>
      </c>
      <c r="B36" s="130" t="s">
        <v>65</v>
      </c>
      <c r="C36" s="124"/>
      <c r="D36" s="50"/>
      <c r="E36" s="213"/>
      <c r="F36" s="213"/>
      <c r="G36" s="213"/>
      <c r="H36" s="213"/>
      <c r="I36" s="213"/>
      <c r="J36" s="213"/>
      <c r="K36" s="213"/>
      <c r="L36" s="213"/>
      <c r="M36" s="213"/>
      <c r="N36" s="213"/>
      <c r="O36" s="213"/>
      <c r="P36" s="213"/>
      <c r="Q36" s="213"/>
      <c r="R36" s="213"/>
      <c r="S36" s="213"/>
      <c r="T36" s="213"/>
      <c r="U36" s="213"/>
      <c r="V36" s="213"/>
      <c r="W36" s="213"/>
      <c r="X36" s="213"/>
    </row>
    <row r="37" spans="1:24" hidden="1" outlineLevel="2" x14ac:dyDescent="0.25">
      <c r="A37" s="556"/>
      <c r="B37" s="46" t="s">
        <v>140</v>
      </c>
      <c r="C37" s="46"/>
      <c r="D37" s="88"/>
      <c r="E37" s="52">
        <f>E36*VLOOKUP($A36,Hypothèses!$A$9:$H$28,6,FALSE)</f>
        <v>0</v>
      </c>
      <c r="F37" s="52">
        <f>F36*VLOOKUP($A36,Hypothèses!$A$9:$H$28,6,FALSE)</f>
        <v>0</v>
      </c>
      <c r="G37" s="52">
        <f>G36*VLOOKUP($A36,Hypothèses!$A$9:$H$28,6,FALSE)</f>
        <v>0</v>
      </c>
      <c r="H37" s="52">
        <f>H36*VLOOKUP($A36,Hypothèses!$A$9:$H$28,6,FALSE)</f>
        <v>0</v>
      </c>
      <c r="I37" s="52">
        <f>I36*VLOOKUP($A36,Hypothèses!$A$9:$H$28,6,FALSE)</f>
        <v>0</v>
      </c>
      <c r="J37" s="52">
        <f>J36*VLOOKUP($A36,Hypothèses!$A$9:$H$28,6,FALSE)</f>
        <v>0</v>
      </c>
      <c r="K37" s="52">
        <f>K36*VLOOKUP($A36,Hypothèses!$A$9:$H$28,6,FALSE)</f>
        <v>0</v>
      </c>
      <c r="L37" s="52">
        <f>L36*VLOOKUP($A36,Hypothèses!$A$9:$H$28,6,FALSE)</f>
        <v>0</v>
      </c>
      <c r="M37" s="52">
        <f>M36*VLOOKUP($A36,Hypothèses!$A$9:$H$28,6,FALSE)</f>
        <v>0</v>
      </c>
      <c r="N37" s="52">
        <f>N36*VLOOKUP($A36,Hypothèses!$A$9:$H$28,6,FALSE)</f>
        <v>0</v>
      </c>
      <c r="O37" s="52">
        <f>O36*VLOOKUP($A36,Hypothèses!$A$9:$H$28,6,FALSE)</f>
        <v>0</v>
      </c>
      <c r="P37" s="52">
        <f>P36*VLOOKUP($A36,Hypothèses!$A$9:$H$28,6,FALSE)</f>
        <v>0</v>
      </c>
      <c r="Q37" s="52">
        <f>Q36*VLOOKUP($A36,Hypothèses!$A$9:$H$28,6,FALSE)</f>
        <v>0</v>
      </c>
      <c r="R37" s="52">
        <f>R36*VLOOKUP($A36,Hypothèses!$A$9:$H$28,6,FALSE)</f>
        <v>0</v>
      </c>
      <c r="S37" s="52">
        <f>S36*VLOOKUP($A36,Hypothèses!$A$9:$H$28,6,FALSE)</f>
        <v>0</v>
      </c>
      <c r="T37" s="52">
        <f>T36*VLOOKUP($A36,Hypothèses!$A$9:$H$28,6,FALSE)</f>
        <v>0</v>
      </c>
      <c r="U37" s="52">
        <f>U36*VLOOKUP($A36,Hypothèses!$A$9:$H$28,6,FALSE)</f>
        <v>0</v>
      </c>
      <c r="V37" s="52">
        <f>V36*VLOOKUP($A36,Hypothèses!$A$9:$H$28,6,FALSE)</f>
        <v>0</v>
      </c>
      <c r="W37" s="52">
        <f>W36*VLOOKUP($A36,Hypothèses!$A$9:$H$28,6,FALSE)</f>
        <v>0</v>
      </c>
      <c r="X37" s="52">
        <f>X36*VLOOKUP($A36,Hypothèses!$A$9:$H$28,6,FALSE)</f>
        <v>0</v>
      </c>
    </row>
    <row r="38" spans="1:24" hidden="1" outlineLevel="2" x14ac:dyDescent="0.25">
      <c r="A38" s="557"/>
      <c r="B38" s="46" t="s">
        <v>138</v>
      </c>
      <c r="C38" s="46"/>
      <c r="D38" s="48"/>
      <c r="E38" s="52">
        <f>E37*VLOOKUP($A36,Hypothèses!$A$9:$H$28,8,FALSE)*(1+$E$19)^(E$21-1)/1000</f>
        <v>0</v>
      </c>
      <c r="F38" s="52">
        <f>F37*VLOOKUP($A36,Hypothèses!$A$9:$H$28,8,FALSE)*(1+$E$19)^(F$21-1)/1000</f>
        <v>0</v>
      </c>
      <c r="G38" s="52">
        <f>G37*VLOOKUP($A36,Hypothèses!$A$9:$H$28,8,FALSE)*(1+$E$19)^(G$21-1)/1000</f>
        <v>0</v>
      </c>
      <c r="H38" s="52">
        <f>H37*VLOOKUP($A36,Hypothèses!$A$9:$H$28,8,FALSE)*(1+$E$19)^(H$21-1)/1000</f>
        <v>0</v>
      </c>
      <c r="I38" s="52">
        <f>I37*VLOOKUP($A36,Hypothèses!$A$9:$H$28,8,FALSE)*(1+$E$19)^(I$21-1)/1000</f>
        <v>0</v>
      </c>
      <c r="J38" s="52">
        <f>J37*VLOOKUP($A36,Hypothèses!$A$9:$H$28,8,FALSE)*(1+$E$19)^(J$21-1)/1000</f>
        <v>0</v>
      </c>
      <c r="K38" s="52">
        <f>K37*VLOOKUP($A36,Hypothèses!$A$9:$H$28,8,FALSE)*(1+$E$19)^(K$21-1)/1000</f>
        <v>0</v>
      </c>
      <c r="L38" s="52">
        <f>L37*VLOOKUP($A36,Hypothèses!$A$9:$H$28,8,FALSE)*(1+$E$19)^(L$21-1)/1000</f>
        <v>0</v>
      </c>
      <c r="M38" s="52">
        <f>M37*VLOOKUP($A36,Hypothèses!$A$9:$H$28,8,FALSE)*(1+$E$19)^(M$21-1)/1000</f>
        <v>0</v>
      </c>
      <c r="N38" s="52">
        <f>N37*VLOOKUP($A36,Hypothèses!$A$9:$H$28,8,FALSE)*(1+$E$19)^(N$21-1)/1000</f>
        <v>0</v>
      </c>
      <c r="O38" s="52">
        <f>O37*VLOOKUP($A36,Hypothèses!$A$9:$H$28,8,FALSE)*(1+$E$19)^(O$21-1)/1000</f>
        <v>0</v>
      </c>
      <c r="P38" s="52">
        <f>P37*VLOOKUP($A36,Hypothèses!$A$9:$H$28,8,FALSE)*(1+$E$19)^(P$21-1)/1000</f>
        <v>0</v>
      </c>
      <c r="Q38" s="52">
        <f>Q37*VLOOKUP($A36,Hypothèses!$A$9:$H$28,8,FALSE)*(1+$E$19)^(Q$21-1)/1000</f>
        <v>0</v>
      </c>
      <c r="R38" s="52">
        <f>R37*VLOOKUP($A36,Hypothèses!$A$9:$H$28,8,FALSE)*(1+$E$19)^(R$21-1)/1000</f>
        <v>0</v>
      </c>
      <c r="S38" s="52">
        <f>S37*VLOOKUP($A36,Hypothèses!$A$9:$H$28,8,FALSE)*(1+$E$19)^(S$21-1)/1000</f>
        <v>0</v>
      </c>
      <c r="T38" s="52">
        <f>T37*VLOOKUP($A36,Hypothèses!$A$9:$H$28,8,FALSE)*(1+$E$19)^(T$21-1)/1000</f>
        <v>0</v>
      </c>
      <c r="U38" s="52">
        <f>U37*VLOOKUP($A36,Hypothèses!$A$9:$H$28,8,FALSE)*(1+$E$19)^(U$21-1)/1000</f>
        <v>0</v>
      </c>
      <c r="V38" s="52">
        <f>V37*VLOOKUP($A36,Hypothèses!$A$9:$H$28,8,FALSE)*(1+$E$19)^(V$21-1)/1000</f>
        <v>0</v>
      </c>
      <c r="W38" s="52">
        <f>W37*VLOOKUP($A36,Hypothèses!$A$9:$H$28,8,FALSE)*(1+$E$19)^(W$21-1)/1000</f>
        <v>0</v>
      </c>
      <c r="X38" s="52">
        <f>X37*VLOOKUP($A36,Hypothèses!$A$9:$H$28,8,FALSE)*(1+$E$19)^(X$21-1)/1000</f>
        <v>0</v>
      </c>
    </row>
    <row r="39" spans="1:24" hidden="1" outlineLevel="2" x14ac:dyDescent="0.25">
      <c r="A39" s="555" t="str">
        <f>Hypothèses!A12</f>
        <v>Véhicule n°4</v>
      </c>
      <c r="B39" s="130" t="s">
        <v>65</v>
      </c>
      <c r="C39" s="124"/>
      <c r="D39" s="50"/>
      <c r="E39" s="213"/>
      <c r="F39" s="213"/>
      <c r="G39" s="213"/>
      <c r="H39" s="213"/>
      <c r="I39" s="213"/>
      <c r="J39" s="213"/>
      <c r="K39" s="213"/>
      <c r="L39" s="213"/>
      <c r="M39" s="213"/>
      <c r="N39" s="213"/>
      <c r="O39" s="213"/>
      <c r="P39" s="213"/>
      <c r="Q39" s="213"/>
      <c r="R39" s="213"/>
      <c r="S39" s="213"/>
      <c r="T39" s="213"/>
      <c r="U39" s="213"/>
      <c r="V39" s="213"/>
      <c r="W39" s="213"/>
      <c r="X39" s="213"/>
    </row>
    <row r="40" spans="1:24" hidden="1" outlineLevel="2" x14ac:dyDescent="0.25">
      <c r="A40" s="556"/>
      <c r="B40" s="46" t="s">
        <v>140</v>
      </c>
      <c r="C40" s="46"/>
      <c r="D40" s="88"/>
      <c r="E40" s="52">
        <f>E39*VLOOKUP($A39,Hypothèses!$A$9:$H$28,6,FALSE)</f>
        <v>0</v>
      </c>
      <c r="F40" s="52">
        <f>F39*VLOOKUP($A39,Hypothèses!$A$9:$H$28,6,FALSE)</f>
        <v>0</v>
      </c>
      <c r="G40" s="52">
        <f>G39*VLOOKUP($A39,Hypothèses!$A$9:$H$28,6,FALSE)</f>
        <v>0</v>
      </c>
      <c r="H40" s="52">
        <f>H39*VLOOKUP($A39,Hypothèses!$A$9:$H$28,6,FALSE)</f>
        <v>0</v>
      </c>
      <c r="I40" s="52">
        <f>I39*VLOOKUP($A39,Hypothèses!$A$9:$H$28,6,FALSE)</f>
        <v>0</v>
      </c>
      <c r="J40" s="52">
        <f>J39*VLOOKUP($A39,Hypothèses!$A$9:$H$28,6,FALSE)</f>
        <v>0</v>
      </c>
      <c r="K40" s="52">
        <f>K39*VLOOKUP($A39,Hypothèses!$A$9:$H$28,6,FALSE)</f>
        <v>0</v>
      </c>
      <c r="L40" s="52">
        <f>L39*VLOOKUP($A39,Hypothèses!$A$9:$H$28,6,FALSE)</f>
        <v>0</v>
      </c>
      <c r="M40" s="52">
        <f>M39*VLOOKUP($A39,Hypothèses!$A$9:$H$28,6,FALSE)</f>
        <v>0</v>
      </c>
      <c r="N40" s="52">
        <f>N39*VLOOKUP($A39,Hypothèses!$A$9:$H$28,6,FALSE)</f>
        <v>0</v>
      </c>
      <c r="O40" s="52">
        <f>O39*VLOOKUP($A39,Hypothèses!$A$9:$H$28,6,FALSE)</f>
        <v>0</v>
      </c>
      <c r="P40" s="52">
        <f>P39*VLOOKUP($A39,Hypothèses!$A$9:$H$28,6,FALSE)</f>
        <v>0</v>
      </c>
      <c r="Q40" s="52">
        <f>Q39*VLOOKUP($A39,Hypothèses!$A$9:$H$28,6,FALSE)</f>
        <v>0</v>
      </c>
      <c r="R40" s="52">
        <f>R39*VLOOKUP($A39,Hypothèses!$A$9:$H$28,6,FALSE)</f>
        <v>0</v>
      </c>
      <c r="S40" s="52">
        <f>S39*VLOOKUP($A39,Hypothèses!$A$9:$H$28,6,FALSE)</f>
        <v>0</v>
      </c>
      <c r="T40" s="52">
        <f>T39*VLOOKUP($A39,Hypothèses!$A$9:$H$28,6,FALSE)</f>
        <v>0</v>
      </c>
      <c r="U40" s="52">
        <f>U39*VLOOKUP($A39,Hypothèses!$A$9:$H$28,6,FALSE)</f>
        <v>0</v>
      </c>
      <c r="V40" s="52">
        <f>V39*VLOOKUP($A39,Hypothèses!$A$9:$H$28,6,FALSE)</f>
        <v>0</v>
      </c>
      <c r="W40" s="52">
        <f>W39*VLOOKUP($A39,Hypothèses!$A$9:$H$28,6,FALSE)</f>
        <v>0</v>
      </c>
      <c r="X40" s="52">
        <f>X39*VLOOKUP($A39,Hypothèses!$A$9:$H$28,6,FALSE)</f>
        <v>0</v>
      </c>
    </row>
    <row r="41" spans="1:24" hidden="1" outlineLevel="2" x14ac:dyDescent="0.25">
      <c r="A41" s="557"/>
      <c r="B41" s="46" t="s">
        <v>138</v>
      </c>
      <c r="C41" s="46"/>
      <c r="D41" s="48"/>
      <c r="E41" s="52">
        <f>E40*VLOOKUP($A39,Hypothèses!$A$9:$H$28,8,FALSE)*(1+$E$19)^(E$21-1)/1000</f>
        <v>0</v>
      </c>
      <c r="F41" s="52">
        <f>F40*VLOOKUP($A39,Hypothèses!$A$9:$H$28,8,FALSE)*(1+$E$19)^(F$21-1)/1000</f>
        <v>0</v>
      </c>
      <c r="G41" s="52">
        <f>G40*VLOOKUP($A39,Hypothèses!$A$9:$H$28,8,FALSE)*(1+$E$19)^(G$21-1)/1000</f>
        <v>0</v>
      </c>
      <c r="H41" s="52">
        <f>H40*VLOOKUP($A39,Hypothèses!$A$9:$H$28,8,FALSE)*(1+$E$19)^(H$21-1)/1000</f>
        <v>0</v>
      </c>
      <c r="I41" s="52">
        <f>I40*VLOOKUP($A39,Hypothèses!$A$9:$H$28,8,FALSE)*(1+$E$19)^(I$21-1)/1000</f>
        <v>0</v>
      </c>
      <c r="J41" s="52">
        <f>J40*VLOOKUP($A39,Hypothèses!$A$9:$H$28,8,FALSE)*(1+$E$19)^(J$21-1)/1000</f>
        <v>0</v>
      </c>
      <c r="K41" s="52">
        <f>K40*VLOOKUP($A39,Hypothèses!$A$9:$H$28,8,FALSE)*(1+$E$19)^(K$21-1)/1000</f>
        <v>0</v>
      </c>
      <c r="L41" s="52">
        <f>L40*VLOOKUP($A39,Hypothèses!$A$9:$H$28,8,FALSE)*(1+$E$19)^(L$21-1)/1000</f>
        <v>0</v>
      </c>
      <c r="M41" s="52">
        <f>M40*VLOOKUP($A39,Hypothèses!$A$9:$H$28,8,FALSE)*(1+$E$19)^(M$21-1)/1000</f>
        <v>0</v>
      </c>
      <c r="N41" s="52">
        <f>N40*VLOOKUP($A39,Hypothèses!$A$9:$H$28,8,FALSE)*(1+$E$19)^(N$21-1)/1000</f>
        <v>0</v>
      </c>
      <c r="O41" s="52">
        <f>O40*VLOOKUP($A39,Hypothèses!$A$9:$H$28,8,FALSE)*(1+$E$19)^(O$21-1)/1000</f>
        <v>0</v>
      </c>
      <c r="P41" s="52">
        <f>P40*VLOOKUP($A39,Hypothèses!$A$9:$H$28,8,FALSE)*(1+$E$19)^(P$21-1)/1000</f>
        <v>0</v>
      </c>
      <c r="Q41" s="52">
        <f>Q40*VLOOKUP($A39,Hypothèses!$A$9:$H$28,8,FALSE)*(1+$E$19)^(Q$21-1)/1000</f>
        <v>0</v>
      </c>
      <c r="R41" s="52">
        <f>R40*VLOOKUP($A39,Hypothèses!$A$9:$H$28,8,FALSE)*(1+$E$19)^(R$21-1)/1000</f>
        <v>0</v>
      </c>
      <c r="S41" s="52">
        <f>S40*VLOOKUP($A39,Hypothèses!$A$9:$H$28,8,FALSE)*(1+$E$19)^(S$21-1)/1000</f>
        <v>0</v>
      </c>
      <c r="T41" s="52">
        <f>T40*VLOOKUP($A39,Hypothèses!$A$9:$H$28,8,FALSE)*(1+$E$19)^(T$21-1)/1000</f>
        <v>0</v>
      </c>
      <c r="U41" s="52">
        <f>U40*VLOOKUP($A39,Hypothèses!$A$9:$H$28,8,FALSE)*(1+$E$19)^(U$21-1)/1000</f>
        <v>0</v>
      </c>
      <c r="V41" s="52">
        <f>V40*VLOOKUP($A39,Hypothèses!$A$9:$H$28,8,FALSE)*(1+$E$19)^(V$21-1)/1000</f>
        <v>0</v>
      </c>
      <c r="W41" s="52">
        <f>W40*VLOOKUP($A39,Hypothèses!$A$9:$H$28,8,FALSE)*(1+$E$19)^(W$21-1)/1000</f>
        <v>0</v>
      </c>
      <c r="X41" s="52">
        <f>X40*VLOOKUP($A39,Hypothèses!$A$9:$H$28,8,FALSE)*(1+$E$19)^(X$21-1)/1000</f>
        <v>0</v>
      </c>
    </row>
    <row r="42" spans="1:24" hidden="1" outlineLevel="2" x14ac:dyDescent="0.25">
      <c r="A42" s="555" t="str">
        <f>Hypothèses!A13</f>
        <v>Véhicule n°5</v>
      </c>
      <c r="B42" s="130" t="s">
        <v>65</v>
      </c>
      <c r="C42" s="124"/>
      <c r="D42" s="50"/>
      <c r="E42" s="213"/>
      <c r="F42" s="213"/>
      <c r="G42" s="213"/>
      <c r="H42" s="213"/>
      <c r="I42" s="213"/>
      <c r="J42" s="213"/>
      <c r="K42" s="213"/>
      <c r="L42" s="213"/>
      <c r="M42" s="213"/>
      <c r="N42" s="213"/>
      <c r="O42" s="213"/>
      <c r="P42" s="213"/>
      <c r="Q42" s="213"/>
      <c r="R42" s="213"/>
      <c r="S42" s="213"/>
      <c r="T42" s="213"/>
      <c r="U42" s="213"/>
      <c r="V42" s="213"/>
      <c r="W42" s="213"/>
      <c r="X42" s="213"/>
    </row>
    <row r="43" spans="1:24" hidden="1" outlineLevel="2" x14ac:dyDescent="0.25">
      <c r="A43" s="556"/>
      <c r="B43" s="46" t="s">
        <v>140</v>
      </c>
      <c r="C43" s="46"/>
      <c r="D43" s="88"/>
      <c r="E43" s="52">
        <f>E42*VLOOKUP($A42,Hypothèses!$A$9:$H$28,6,FALSE)</f>
        <v>0</v>
      </c>
      <c r="F43" s="52">
        <f>F42*VLOOKUP($A42,Hypothèses!$A$9:$H$28,6,FALSE)</f>
        <v>0</v>
      </c>
      <c r="G43" s="52">
        <f>G42*VLOOKUP($A42,Hypothèses!$A$9:$H$28,6,FALSE)</f>
        <v>0</v>
      </c>
      <c r="H43" s="52">
        <f>H42*VLOOKUP($A42,Hypothèses!$A$9:$H$28,6,FALSE)</f>
        <v>0</v>
      </c>
      <c r="I43" s="52">
        <f>I42*VLOOKUP($A42,Hypothèses!$A$9:$H$28,6,FALSE)</f>
        <v>0</v>
      </c>
      <c r="J43" s="52">
        <f>J42*VLOOKUP($A42,Hypothèses!$A$9:$H$28,6,FALSE)</f>
        <v>0</v>
      </c>
      <c r="K43" s="52">
        <f>K42*VLOOKUP($A42,Hypothèses!$A$9:$H$28,6,FALSE)</f>
        <v>0</v>
      </c>
      <c r="L43" s="52">
        <f>L42*VLOOKUP($A42,Hypothèses!$A$9:$H$28,6,FALSE)</f>
        <v>0</v>
      </c>
      <c r="M43" s="52">
        <f>M42*VLOOKUP($A42,Hypothèses!$A$9:$H$28,6,FALSE)</f>
        <v>0</v>
      </c>
      <c r="N43" s="52">
        <f>N42*VLOOKUP($A42,Hypothèses!$A$9:$H$28,6,FALSE)</f>
        <v>0</v>
      </c>
      <c r="O43" s="52">
        <f>O42*VLOOKUP($A42,Hypothèses!$A$9:$H$28,6,FALSE)</f>
        <v>0</v>
      </c>
      <c r="P43" s="52">
        <f>P42*VLOOKUP($A42,Hypothèses!$A$9:$H$28,6,FALSE)</f>
        <v>0</v>
      </c>
      <c r="Q43" s="52">
        <f>Q42*VLOOKUP($A42,Hypothèses!$A$9:$H$28,6,FALSE)</f>
        <v>0</v>
      </c>
      <c r="R43" s="52">
        <f>R42*VLOOKUP($A42,Hypothèses!$A$9:$H$28,6,FALSE)</f>
        <v>0</v>
      </c>
      <c r="S43" s="52">
        <f>S42*VLOOKUP($A42,Hypothèses!$A$9:$H$28,6,FALSE)</f>
        <v>0</v>
      </c>
      <c r="T43" s="52">
        <f>T42*VLOOKUP($A42,Hypothèses!$A$9:$H$28,6,FALSE)</f>
        <v>0</v>
      </c>
      <c r="U43" s="52">
        <f>U42*VLOOKUP($A42,Hypothèses!$A$9:$H$28,6,FALSE)</f>
        <v>0</v>
      </c>
      <c r="V43" s="52">
        <f>V42*VLOOKUP($A42,Hypothèses!$A$9:$H$28,6,FALSE)</f>
        <v>0</v>
      </c>
      <c r="W43" s="52">
        <f>W42*VLOOKUP($A42,Hypothèses!$A$9:$H$28,6,FALSE)</f>
        <v>0</v>
      </c>
      <c r="X43" s="52">
        <f>X42*VLOOKUP($A42,Hypothèses!$A$9:$H$28,6,FALSE)</f>
        <v>0</v>
      </c>
    </row>
    <row r="44" spans="1:24" hidden="1" outlineLevel="2" x14ac:dyDescent="0.25">
      <c r="A44" s="557"/>
      <c r="B44" s="46" t="s">
        <v>138</v>
      </c>
      <c r="C44" s="46"/>
      <c r="D44" s="48"/>
      <c r="E44" s="52">
        <f>E43*VLOOKUP($A42,Hypothèses!$A$9:$H$28,8,FALSE)*(1+$E$19)^(E$21-1)/1000</f>
        <v>0</v>
      </c>
      <c r="F44" s="52">
        <f>F43*VLOOKUP($A42,Hypothèses!$A$9:$H$28,8,FALSE)*(1+$E$19)^(F$21-1)/1000</f>
        <v>0</v>
      </c>
      <c r="G44" s="52">
        <f>G43*VLOOKUP($A42,Hypothèses!$A$9:$H$28,8,FALSE)*(1+$E$19)^(G$21-1)/1000</f>
        <v>0</v>
      </c>
      <c r="H44" s="52">
        <f>H43*VLOOKUP($A42,Hypothèses!$A$9:$H$28,8,FALSE)*(1+$E$19)^(H$21-1)/1000</f>
        <v>0</v>
      </c>
      <c r="I44" s="52">
        <f>I43*VLOOKUP($A42,Hypothèses!$A$9:$H$28,8,FALSE)*(1+$E$19)^(I$21-1)/1000</f>
        <v>0</v>
      </c>
      <c r="J44" s="52">
        <f>J43*VLOOKUP($A42,Hypothèses!$A$9:$H$28,8,FALSE)*(1+$E$19)^(J$21-1)/1000</f>
        <v>0</v>
      </c>
      <c r="K44" s="52">
        <f>K43*VLOOKUP($A42,Hypothèses!$A$9:$H$28,8,FALSE)*(1+$E$19)^(K$21-1)/1000</f>
        <v>0</v>
      </c>
      <c r="L44" s="52">
        <f>L43*VLOOKUP($A42,Hypothèses!$A$9:$H$28,8,FALSE)*(1+$E$19)^(L$21-1)/1000</f>
        <v>0</v>
      </c>
      <c r="M44" s="52">
        <f>M43*VLOOKUP($A42,Hypothèses!$A$9:$H$28,8,FALSE)*(1+$E$19)^(M$21-1)/1000</f>
        <v>0</v>
      </c>
      <c r="N44" s="52">
        <f>N43*VLOOKUP($A42,Hypothèses!$A$9:$H$28,8,FALSE)*(1+$E$19)^(N$21-1)/1000</f>
        <v>0</v>
      </c>
      <c r="O44" s="52">
        <f>O43*VLOOKUP($A42,Hypothèses!$A$9:$H$28,8,FALSE)*(1+$E$19)^(O$21-1)/1000</f>
        <v>0</v>
      </c>
      <c r="P44" s="52">
        <f>P43*VLOOKUP($A42,Hypothèses!$A$9:$H$28,8,FALSE)*(1+$E$19)^(P$21-1)/1000</f>
        <v>0</v>
      </c>
      <c r="Q44" s="52">
        <f>Q43*VLOOKUP($A42,Hypothèses!$A$9:$H$28,8,FALSE)*(1+$E$19)^(Q$21-1)/1000</f>
        <v>0</v>
      </c>
      <c r="R44" s="52">
        <f>R43*VLOOKUP($A42,Hypothèses!$A$9:$H$28,8,FALSE)*(1+$E$19)^(R$21-1)/1000</f>
        <v>0</v>
      </c>
      <c r="S44" s="52">
        <f>S43*VLOOKUP($A42,Hypothèses!$A$9:$H$28,8,FALSE)*(1+$E$19)^(S$21-1)/1000</f>
        <v>0</v>
      </c>
      <c r="T44" s="52">
        <f>T43*VLOOKUP($A42,Hypothèses!$A$9:$H$28,8,FALSE)*(1+$E$19)^(T$21-1)/1000</f>
        <v>0</v>
      </c>
      <c r="U44" s="52">
        <f>U43*VLOOKUP($A42,Hypothèses!$A$9:$H$28,8,FALSE)*(1+$E$19)^(U$21-1)/1000</f>
        <v>0</v>
      </c>
      <c r="V44" s="52">
        <f>V43*VLOOKUP($A42,Hypothèses!$A$9:$H$28,8,FALSE)*(1+$E$19)^(V$21-1)/1000</f>
        <v>0</v>
      </c>
      <c r="W44" s="52">
        <f>W43*VLOOKUP($A42,Hypothèses!$A$9:$H$28,8,FALSE)*(1+$E$19)^(W$21-1)/1000</f>
        <v>0</v>
      </c>
      <c r="X44" s="52">
        <f>X43*VLOOKUP($A42,Hypothèses!$A$9:$H$28,8,FALSE)*(1+$E$19)^(X$21-1)/1000</f>
        <v>0</v>
      </c>
    </row>
    <row r="45" spans="1:24" hidden="1" outlineLevel="2" x14ac:dyDescent="0.25">
      <c r="A45" s="555" t="str">
        <f>Hypothèses!A14</f>
        <v>Véhicule n°6</v>
      </c>
      <c r="B45" s="130" t="s">
        <v>65</v>
      </c>
      <c r="C45" s="124"/>
      <c r="D45" s="50"/>
      <c r="E45" s="213"/>
      <c r="F45" s="213"/>
      <c r="G45" s="213"/>
      <c r="H45" s="213"/>
      <c r="I45" s="213"/>
      <c r="J45" s="213"/>
      <c r="K45" s="213"/>
      <c r="L45" s="213"/>
      <c r="M45" s="213"/>
      <c r="N45" s="213"/>
      <c r="O45" s="213"/>
      <c r="P45" s="213"/>
      <c r="Q45" s="213"/>
      <c r="R45" s="213"/>
      <c r="S45" s="213"/>
      <c r="T45" s="213"/>
      <c r="U45" s="213"/>
      <c r="V45" s="213"/>
      <c r="W45" s="213"/>
      <c r="X45" s="213"/>
    </row>
    <row r="46" spans="1:24" hidden="1" outlineLevel="2" x14ac:dyDescent="0.25">
      <c r="A46" s="556"/>
      <c r="B46" s="46" t="s">
        <v>140</v>
      </c>
      <c r="C46" s="46"/>
      <c r="D46" s="88"/>
      <c r="E46" s="52">
        <f>E45*VLOOKUP($A45,Hypothèses!$A$9:$H$28,6,FALSE)</f>
        <v>0</v>
      </c>
      <c r="F46" s="52">
        <f>F45*VLOOKUP($A45,Hypothèses!$A$9:$H$28,6,FALSE)</f>
        <v>0</v>
      </c>
      <c r="G46" s="52">
        <f>G45*VLOOKUP($A45,Hypothèses!$A$9:$H$28,6,FALSE)</f>
        <v>0</v>
      </c>
      <c r="H46" s="52">
        <f>H45*VLOOKUP($A45,Hypothèses!$A$9:$H$28,6,FALSE)</f>
        <v>0</v>
      </c>
      <c r="I46" s="52">
        <f>I45*VLOOKUP($A45,Hypothèses!$A$9:$H$28,6,FALSE)</f>
        <v>0</v>
      </c>
      <c r="J46" s="52">
        <f>J45*VLOOKUP($A45,Hypothèses!$A$9:$H$28,6,FALSE)</f>
        <v>0</v>
      </c>
      <c r="K46" s="52">
        <f>K45*VLOOKUP($A45,Hypothèses!$A$9:$H$28,6,FALSE)</f>
        <v>0</v>
      </c>
      <c r="L46" s="52">
        <f>L45*VLOOKUP($A45,Hypothèses!$A$9:$H$28,6,FALSE)</f>
        <v>0</v>
      </c>
      <c r="M46" s="52">
        <f>M45*VLOOKUP($A45,Hypothèses!$A$9:$H$28,6,FALSE)</f>
        <v>0</v>
      </c>
      <c r="N46" s="52">
        <f>N45*VLOOKUP($A45,Hypothèses!$A$9:$H$28,6,FALSE)</f>
        <v>0</v>
      </c>
      <c r="O46" s="52">
        <f>O45*VLOOKUP($A45,Hypothèses!$A$9:$H$28,6,FALSE)</f>
        <v>0</v>
      </c>
      <c r="P46" s="52">
        <f>P45*VLOOKUP($A45,Hypothèses!$A$9:$H$28,6,FALSE)</f>
        <v>0</v>
      </c>
      <c r="Q46" s="52">
        <f>Q45*VLOOKUP($A45,Hypothèses!$A$9:$H$28,6,FALSE)</f>
        <v>0</v>
      </c>
      <c r="R46" s="52">
        <f>R45*VLOOKUP($A45,Hypothèses!$A$9:$H$28,6,FALSE)</f>
        <v>0</v>
      </c>
      <c r="S46" s="52">
        <f>S45*VLOOKUP($A45,Hypothèses!$A$9:$H$28,6,FALSE)</f>
        <v>0</v>
      </c>
      <c r="T46" s="52">
        <f>T45*VLOOKUP($A45,Hypothèses!$A$9:$H$28,6,FALSE)</f>
        <v>0</v>
      </c>
      <c r="U46" s="52">
        <f>U45*VLOOKUP($A45,Hypothèses!$A$9:$H$28,6,FALSE)</f>
        <v>0</v>
      </c>
      <c r="V46" s="52">
        <f>V45*VLOOKUP($A45,Hypothèses!$A$9:$H$28,6,FALSE)</f>
        <v>0</v>
      </c>
      <c r="W46" s="52">
        <f>W45*VLOOKUP($A45,Hypothèses!$A$9:$H$28,6,FALSE)</f>
        <v>0</v>
      </c>
      <c r="X46" s="52">
        <f>X45*VLOOKUP($A45,Hypothèses!$A$9:$H$28,6,FALSE)</f>
        <v>0</v>
      </c>
    </row>
    <row r="47" spans="1:24" hidden="1" outlineLevel="2" x14ac:dyDescent="0.25">
      <c r="A47" s="557"/>
      <c r="B47" s="46" t="s">
        <v>138</v>
      </c>
      <c r="C47" s="46"/>
      <c r="D47" s="48"/>
      <c r="E47" s="52">
        <f>E46*VLOOKUP($A45,Hypothèses!$A$9:$H$28,8,FALSE)*(1+$E$19)^(E$21-1)/1000</f>
        <v>0</v>
      </c>
      <c r="F47" s="52">
        <f>F46*VLOOKUP($A45,Hypothèses!$A$9:$H$28,8,FALSE)*(1+$E$19)^(F$21-1)/1000</f>
        <v>0</v>
      </c>
      <c r="G47" s="52">
        <f>G46*VLOOKUP($A45,Hypothèses!$A$9:$H$28,8,FALSE)*(1+$E$19)^(G$21-1)/1000</f>
        <v>0</v>
      </c>
      <c r="H47" s="52">
        <f>H46*VLOOKUP($A45,Hypothèses!$A$9:$H$28,8,FALSE)*(1+$E$19)^(H$21-1)/1000</f>
        <v>0</v>
      </c>
      <c r="I47" s="52">
        <f>I46*VLOOKUP($A45,Hypothèses!$A$9:$H$28,8,FALSE)*(1+$E$19)^(I$21-1)/1000</f>
        <v>0</v>
      </c>
      <c r="J47" s="52">
        <f>J46*VLOOKUP($A45,Hypothèses!$A$9:$H$28,8,FALSE)*(1+$E$19)^(J$21-1)/1000</f>
        <v>0</v>
      </c>
      <c r="K47" s="52">
        <f>K46*VLOOKUP($A45,Hypothèses!$A$9:$H$28,8,FALSE)*(1+$E$19)^(K$21-1)/1000</f>
        <v>0</v>
      </c>
      <c r="L47" s="52">
        <f>L46*VLOOKUP($A45,Hypothèses!$A$9:$H$28,8,FALSE)*(1+$E$19)^(L$21-1)/1000</f>
        <v>0</v>
      </c>
      <c r="M47" s="52">
        <f>M46*VLOOKUP($A45,Hypothèses!$A$9:$H$28,8,FALSE)*(1+$E$19)^(M$21-1)/1000</f>
        <v>0</v>
      </c>
      <c r="N47" s="52">
        <f>N46*VLOOKUP($A45,Hypothèses!$A$9:$H$28,8,FALSE)*(1+$E$19)^(N$21-1)/1000</f>
        <v>0</v>
      </c>
      <c r="O47" s="52">
        <f>O46*VLOOKUP($A45,Hypothèses!$A$9:$H$28,8,FALSE)*(1+$E$19)^(O$21-1)/1000</f>
        <v>0</v>
      </c>
      <c r="P47" s="52">
        <f>P46*VLOOKUP($A45,Hypothèses!$A$9:$H$28,8,FALSE)*(1+$E$19)^(P$21-1)/1000</f>
        <v>0</v>
      </c>
      <c r="Q47" s="52">
        <f>Q46*VLOOKUP($A45,Hypothèses!$A$9:$H$28,8,FALSE)*(1+$E$19)^(Q$21-1)/1000</f>
        <v>0</v>
      </c>
      <c r="R47" s="52">
        <f>R46*VLOOKUP($A45,Hypothèses!$A$9:$H$28,8,FALSE)*(1+$E$19)^(R$21-1)/1000</f>
        <v>0</v>
      </c>
      <c r="S47" s="52">
        <f>S46*VLOOKUP($A45,Hypothèses!$A$9:$H$28,8,FALSE)*(1+$E$19)^(S$21-1)/1000</f>
        <v>0</v>
      </c>
      <c r="T47" s="52">
        <f>T46*VLOOKUP($A45,Hypothèses!$A$9:$H$28,8,FALSE)*(1+$E$19)^(T$21-1)/1000</f>
        <v>0</v>
      </c>
      <c r="U47" s="52">
        <f>U46*VLOOKUP($A45,Hypothèses!$A$9:$H$28,8,FALSE)*(1+$E$19)^(U$21-1)/1000</f>
        <v>0</v>
      </c>
      <c r="V47" s="52">
        <f>V46*VLOOKUP($A45,Hypothèses!$A$9:$H$28,8,FALSE)*(1+$E$19)^(V$21-1)/1000</f>
        <v>0</v>
      </c>
      <c r="W47" s="52">
        <f>W46*VLOOKUP($A45,Hypothèses!$A$9:$H$28,8,FALSE)*(1+$E$19)^(W$21-1)/1000</f>
        <v>0</v>
      </c>
      <c r="X47" s="52">
        <f>X46*VLOOKUP($A45,Hypothèses!$A$9:$H$28,8,FALSE)*(1+$E$19)^(X$21-1)/1000</f>
        <v>0</v>
      </c>
    </row>
    <row r="48" spans="1:24" hidden="1" outlineLevel="2" x14ac:dyDescent="0.25">
      <c r="A48" s="555" t="str">
        <f>Hypothèses!A15</f>
        <v>Véhicule n°7</v>
      </c>
      <c r="B48" s="130" t="s">
        <v>65</v>
      </c>
      <c r="C48" s="124"/>
      <c r="D48" s="50"/>
      <c r="E48" s="213"/>
      <c r="F48" s="213"/>
      <c r="G48" s="213"/>
      <c r="H48" s="213"/>
      <c r="I48" s="213"/>
      <c r="J48" s="213"/>
      <c r="K48" s="213"/>
      <c r="L48" s="213"/>
      <c r="M48" s="213"/>
      <c r="N48" s="213"/>
      <c r="O48" s="213"/>
      <c r="P48" s="213"/>
      <c r="Q48" s="213"/>
      <c r="R48" s="213"/>
      <c r="S48" s="213"/>
      <c r="T48" s="213"/>
      <c r="U48" s="213"/>
      <c r="V48" s="213"/>
      <c r="W48" s="213"/>
      <c r="X48" s="213"/>
    </row>
    <row r="49" spans="1:24" hidden="1" outlineLevel="2" x14ac:dyDescent="0.25">
      <c r="A49" s="556"/>
      <c r="B49" s="46" t="s">
        <v>140</v>
      </c>
      <c r="C49" s="46"/>
      <c r="D49" s="88"/>
      <c r="E49" s="52">
        <f>E48*VLOOKUP($A48,Hypothèses!$A$9:$H$28,6,FALSE)</f>
        <v>0</v>
      </c>
      <c r="F49" s="52">
        <f>F48*VLOOKUP($A48,Hypothèses!$A$9:$H$28,6,FALSE)</f>
        <v>0</v>
      </c>
      <c r="G49" s="52">
        <f>G48*VLOOKUP($A48,Hypothèses!$A$9:$H$28,6,FALSE)</f>
        <v>0</v>
      </c>
      <c r="H49" s="52">
        <f>H48*VLOOKUP($A48,Hypothèses!$A$9:$H$28,6,FALSE)</f>
        <v>0</v>
      </c>
      <c r="I49" s="52">
        <f>I48*VLOOKUP($A48,Hypothèses!$A$9:$H$28,6,FALSE)</f>
        <v>0</v>
      </c>
      <c r="J49" s="52">
        <f>J48*VLOOKUP($A48,Hypothèses!$A$9:$H$28,6,FALSE)</f>
        <v>0</v>
      </c>
      <c r="K49" s="52">
        <f>K48*VLOOKUP($A48,Hypothèses!$A$9:$H$28,6,FALSE)</f>
        <v>0</v>
      </c>
      <c r="L49" s="52">
        <f>L48*VLOOKUP($A48,Hypothèses!$A$9:$H$28,6,FALSE)</f>
        <v>0</v>
      </c>
      <c r="M49" s="52">
        <f>M48*VLOOKUP($A48,Hypothèses!$A$9:$H$28,6,FALSE)</f>
        <v>0</v>
      </c>
      <c r="N49" s="52">
        <f>N48*VLOOKUP($A48,Hypothèses!$A$9:$H$28,6,FALSE)</f>
        <v>0</v>
      </c>
      <c r="O49" s="52">
        <f>O48*VLOOKUP($A48,Hypothèses!$A$9:$H$28,6,FALSE)</f>
        <v>0</v>
      </c>
      <c r="P49" s="52">
        <f>P48*VLOOKUP($A48,Hypothèses!$A$9:$H$28,6,FALSE)</f>
        <v>0</v>
      </c>
      <c r="Q49" s="52">
        <f>Q48*VLOOKUP($A48,Hypothèses!$A$9:$H$28,6,FALSE)</f>
        <v>0</v>
      </c>
      <c r="R49" s="52">
        <f>R48*VLOOKUP($A48,Hypothèses!$A$9:$H$28,6,FALSE)</f>
        <v>0</v>
      </c>
      <c r="S49" s="52">
        <f>S48*VLOOKUP($A48,Hypothèses!$A$9:$H$28,6,FALSE)</f>
        <v>0</v>
      </c>
      <c r="T49" s="52">
        <f>T48*VLOOKUP($A48,Hypothèses!$A$9:$H$28,6,FALSE)</f>
        <v>0</v>
      </c>
      <c r="U49" s="52">
        <f>U48*VLOOKUP($A48,Hypothèses!$A$9:$H$28,6,FALSE)</f>
        <v>0</v>
      </c>
      <c r="V49" s="52">
        <f>V48*VLOOKUP($A48,Hypothèses!$A$9:$H$28,6,FALSE)</f>
        <v>0</v>
      </c>
      <c r="W49" s="52">
        <f>W48*VLOOKUP($A48,Hypothèses!$A$9:$H$28,6,FALSE)</f>
        <v>0</v>
      </c>
      <c r="X49" s="52">
        <f>X48*VLOOKUP($A48,Hypothèses!$A$9:$H$28,6,FALSE)</f>
        <v>0</v>
      </c>
    </row>
    <row r="50" spans="1:24" hidden="1" outlineLevel="2" x14ac:dyDescent="0.25">
      <c r="A50" s="557"/>
      <c r="B50" s="46" t="s">
        <v>138</v>
      </c>
      <c r="C50" s="46"/>
      <c r="D50" s="48"/>
      <c r="E50" s="52">
        <f>E49*VLOOKUP($A48,Hypothèses!$A$9:$H$28,8,FALSE)*(1+$E$19)^(E$21-1)/1000</f>
        <v>0</v>
      </c>
      <c r="F50" s="52">
        <f>F49*VLOOKUP($A48,Hypothèses!$A$9:$H$28,8,FALSE)*(1+$E$19)^(F$21-1)/1000</f>
        <v>0</v>
      </c>
      <c r="G50" s="52">
        <f>G49*VLOOKUP($A48,Hypothèses!$A$9:$H$28,8,FALSE)*(1+$E$19)^(G$21-1)/1000</f>
        <v>0</v>
      </c>
      <c r="H50" s="52">
        <f>H49*VLOOKUP($A48,Hypothèses!$A$9:$H$28,8,FALSE)*(1+$E$19)^(H$21-1)/1000</f>
        <v>0</v>
      </c>
      <c r="I50" s="52">
        <f>I49*VLOOKUP($A48,Hypothèses!$A$9:$H$28,8,FALSE)*(1+$E$19)^(I$21-1)/1000</f>
        <v>0</v>
      </c>
      <c r="J50" s="52">
        <f>J49*VLOOKUP($A48,Hypothèses!$A$9:$H$28,8,FALSE)*(1+$E$19)^(J$21-1)/1000</f>
        <v>0</v>
      </c>
      <c r="K50" s="52">
        <f>K49*VLOOKUP($A48,Hypothèses!$A$9:$H$28,8,FALSE)*(1+$E$19)^(K$21-1)/1000</f>
        <v>0</v>
      </c>
      <c r="L50" s="52">
        <f>L49*VLOOKUP($A48,Hypothèses!$A$9:$H$28,8,FALSE)*(1+$E$19)^(L$21-1)/1000</f>
        <v>0</v>
      </c>
      <c r="M50" s="52">
        <f>M49*VLOOKUP($A48,Hypothèses!$A$9:$H$28,8,FALSE)*(1+$E$19)^(M$21-1)/1000</f>
        <v>0</v>
      </c>
      <c r="N50" s="52">
        <f>N49*VLOOKUP($A48,Hypothèses!$A$9:$H$28,8,FALSE)*(1+$E$19)^(N$21-1)/1000</f>
        <v>0</v>
      </c>
      <c r="O50" s="52">
        <f>O49*VLOOKUP($A48,Hypothèses!$A$9:$H$28,8,FALSE)*(1+$E$19)^(O$21-1)/1000</f>
        <v>0</v>
      </c>
      <c r="P50" s="52">
        <f>P49*VLOOKUP($A48,Hypothèses!$A$9:$H$28,8,FALSE)*(1+$E$19)^(P$21-1)/1000</f>
        <v>0</v>
      </c>
      <c r="Q50" s="52">
        <f>Q49*VLOOKUP($A48,Hypothèses!$A$9:$H$28,8,FALSE)*(1+$E$19)^(Q$21-1)/1000</f>
        <v>0</v>
      </c>
      <c r="R50" s="52">
        <f>R49*VLOOKUP($A48,Hypothèses!$A$9:$H$28,8,FALSE)*(1+$E$19)^(R$21-1)/1000</f>
        <v>0</v>
      </c>
      <c r="S50" s="52">
        <f>S49*VLOOKUP($A48,Hypothèses!$A$9:$H$28,8,FALSE)*(1+$E$19)^(S$21-1)/1000</f>
        <v>0</v>
      </c>
      <c r="T50" s="52">
        <f>T49*VLOOKUP($A48,Hypothèses!$A$9:$H$28,8,FALSE)*(1+$E$19)^(T$21-1)/1000</f>
        <v>0</v>
      </c>
      <c r="U50" s="52">
        <f>U49*VLOOKUP($A48,Hypothèses!$A$9:$H$28,8,FALSE)*(1+$E$19)^(U$21-1)/1000</f>
        <v>0</v>
      </c>
      <c r="V50" s="52">
        <f>V49*VLOOKUP($A48,Hypothèses!$A$9:$H$28,8,FALSE)*(1+$E$19)^(V$21-1)/1000</f>
        <v>0</v>
      </c>
      <c r="W50" s="52">
        <f>W49*VLOOKUP($A48,Hypothèses!$A$9:$H$28,8,FALSE)*(1+$E$19)^(W$21-1)/1000</f>
        <v>0</v>
      </c>
      <c r="X50" s="52">
        <f>X49*VLOOKUP($A48,Hypothèses!$A$9:$H$28,8,FALSE)*(1+$E$19)^(X$21-1)/1000</f>
        <v>0</v>
      </c>
    </row>
    <row r="51" spans="1:24" hidden="1" outlineLevel="2" x14ac:dyDescent="0.25">
      <c r="A51" s="555" t="str">
        <f>Hypothèses!A16</f>
        <v>Véhicule n°8</v>
      </c>
      <c r="B51" s="130" t="s">
        <v>65</v>
      </c>
      <c r="C51" s="124"/>
      <c r="D51" s="50"/>
      <c r="E51" s="213"/>
      <c r="F51" s="213"/>
      <c r="G51" s="213"/>
      <c r="H51" s="213"/>
      <c r="I51" s="213"/>
      <c r="J51" s="213"/>
      <c r="K51" s="213"/>
      <c r="L51" s="213"/>
      <c r="M51" s="213"/>
      <c r="N51" s="213"/>
      <c r="O51" s="213"/>
      <c r="P51" s="213"/>
      <c r="Q51" s="213"/>
      <c r="R51" s="213"/>
      <c r="S51" s="213"/>
      <c r="T51" s="213"/>
      <c r="U51" s="213"/>
      <c r="V51" s="213"/>
      <c r="W51" s="213"/>
      <c r="X51" s="213"/>
    </row>
    <row r="52" spans="1:24" hidden="1" outlineLevel="2" x14ac:dyDescent="0.25">
      <c r="A52" s="556"/>
      <c r="B52" s="46" t="s">
        <v>140</v>
      </c>
      <c r="C52" s="46"/>
      <c r="D52" s="88"/>
      <c r="E52" s="52">
        <f>E51*VLOOKUP($A51,Hypothèses!$A$9:$H$28,6,FALSE)</f>
        <v>0</v>
      </c>
      <c r="F52" s="52">
        <f>F51*VLOOKUP($A51,Hypothèses!$A$9:$H$28,6,FALSE)</f>
        <v>0</v>
      </c>
      <c r="G52" s="52">
        <f>G51*VLOOKUP($A51,Hypothèses!$A$9:$H$28,6,FALSE)</f>
        <v>0</v>
      </c>
      <c r="H52" s="52">
        <f>H51*VLOOKUP($A51,Hypothèses!$A$9:$H$28,6,FALSE)</f>
        <v>0</v>
      </c>
      <c r="I52" s="52">
        <f>I51*VLOOKUP($A51,Hypothèses!$A$9:$H$28,6,FALSE)</f>
        <v>0</v>
      </c>
      <c r="J52" s="52">
        <f>J51*VLOOKUP($A51,Hypothèses!$A$9:$H$28,6,FALSE)</f>
        <v>0</v>
      </c>
      <c r="K52" s="52">
        <f>K51*VLOOKUP($A51,Hypothèses!$A$9:$H$28,6,FALSE)</f>
        <v>0</v>
      </c>
      <c r="L52" s="52">
        <f>L51*VLOOKUP($A51,Hypothèses!$A$9:$H$28,6,FALSE)</f>
        <v>0</v>
      </c>
      <c r="M52" s="52">
        <f>M51*VLOOKUP($A51,Hypothèses!$A$9:$H$28,6,FALSE)</f>
        <v>0</v>
      </c>
      <c r="N52" s="52">
        <f>N51*VLOOKUP($A51,Hypothèses!$A$9:$H$28,6,FALSE)</f>
        <v>0</v>
      </c>
      <c r="O52" s="52">
        <f>O51*VLOOKUP($A51,Hypothèses!$A$9:$H$28,6,FALSE)</f>
        <v>0</v>
      </c>
      <c r="P52" s="52">
        <f>P51*VLOOKUP($A51,Hypothèses!$A$9:$H$28,6,FALSE)</f>
        <v>0</v>
      </c>
      <c r="Q52" s="52">
        <f>Q51*VLOOKUP($A51,Hypothèses!$A$9:$H$28,6,FALSE)</f>
        <v>0</v>
      </c>
      <c r="R52" s="52">
        <f>R51*VLOOKUP($A51,Hypothèses!$A$9:$H$28,6,FALSE)</f>
        <v>0</v>
      </c>
      <c r="S52" s="52">
        <f>S51*VLOOKUP($A51,Hypothèses!$A$9:$H$28,6,FALSE)</f>
        <v>0</v>
      </c>
      <c r="T52" s="52">
        <f>T51*VLOOKUP($A51,Hypothèses!$A$9:$H$28,6,FALSE)</f>
        <v>0</v>
      </c>
      <c r="U52" s="52">
        <f>U51*VLOOKUP($A51,Hypothèses!$A$9:$H$28,6,FALSE)</f>
        <v>0</v>
      </c>
      <c r="V52" s="52">
        <f>V51*VLOOKUP($A51,Hypothèses!$A$9:$H$28,6,FALSE)</f>
        <v>0</v>
      </c>
      <c r="W52" s="52">
        <f>W51*VLOOKUP($A51,Hypothèses!$A$9:$H$28,6,FALSE)</f>
        <v>0</v>
      </c>
      <c r="X52" s="52">
        <f>X51*VLOOKUP($A51,Hypothèses!$A$9:$H$28,6,FALSE)</f>
        <v>0</v>
      </c>
    </row>
    <row r="53" spans="1:24" hidden="1" outlineLevel="2" x14ac:dyDescent="0.25">
      <c r="A53" s="557"/>
      <c r="B53" s="46" t="s">
        <v>138</v>
      </c>
      <c r="C53" s="46"/>
      <c r="D53" s="48"/>
      <c r="E53" s="52">
        <f>E52*VLOOKUP($A51,Hypothèses!$A$9:$H$28,8,FALSE)*(1+$E$19)^(E$21-1)/1000</f>
        <v>0</v>
      </c>
      <c r="F53" s="52">
        <f>F52*VLOOKUP($A51,Hypothèses!$A$9:$H$28,8,FALSE)*(1+$E$19)^(F$21-1)/1000</f>
        <v>0</v>
      </c>
      <c r="G53" s="52">
        <f>G52*VLOOKUP($A51,Hypothèses!$A$9:$H$28,8,FALSE)*(1+$E$19)^(G$21-1)/1000</f>
        <v>0</v>
      </c>
      <c r="H53" s="52">
        <f>H52*VLOOKUP($A51,Hypothèses!$A$9:$H$28,8,FALSE)*(1+$E$19)^(H$21-1)/1000</f>
        <v>0</v>
      </c>
      <c r="I53" s="52">
        <f>I52*VLOOKUP($A51,Hypothèses!$A$9:$H$28,8,FALSE)*(1+$E$19)^(I$21-1)/1000</f>
        <v>0</v>
      </c>
      <c r="J53" s="52">
        <f>J52*VLOOKUP($A51,Hypothèses!$A$9:$H$28,8,FALSE)*(1+$E$19)^(J$21-1)/1000</f>
        <v>0</v>
      </c>
      <c r="K53" s="52">
        <f>K52*VLOOKUP($A51,Hypothèses!$A$9:$H$28,8,FALSE)*(1+$E$19)^(K$21-1)/1000</f>
        <v>0</v>
      </c>
      <c r="L53" s="52">
        <f>L52*VLOOKUP($A51,Hypothèses!$A$9:$H$28,8,FALSE)*(1+$E$19)^(L$21-1)/1000</f>
        <v>0</v>
      </c>
      <c r="M53" s="52">
        <f>M52*VLOOKUP($A51,Hypothèses!$A$9:$H$28,8,FALSE)*(1+$E$19)^(M$21-1)/1000</f>
        <v>0</v>
      </c>
      <c r="N53" s="52">
        <f>N52*VLOOKUP($A51,Hypothèses!$A$9:$H$28,8,FALSE)*(1+$E$19)^(N$21-1)/1000</f>
        <v>0</v>
      </c>
      <c r="O53" s="52">
        <f>O52*VLOOKUP($A51,Hypothèses!$A$9:$H$28,8,FALSE)*(1+$E$19)^(O$21-1)/1000</f>
        <v>0</v>
      </c>
      <c r="P53" s="52">
        <f>P52*VLOOKUP($A51,Hypothèses!$A$9:$H$28,8,FALSE)*(1+$E$19)^(P$21-1)/1000</f>
        <v>0</v>
      </c>
      <c r="Q53" s="52">
        <f>Q52*VLOOKUP($A51,Hypothèses!$A$9:$H$28,8,FALSE)*(1+$E$19)^(Q$21-1)/1000</f>
        <v>0</v>
      </c>
      <c r="R53" s="52">
        <f>R52*VLOOKUP($A51,Hypothèses!$A$9:$H$28,8,FALSE)*(1+$E$19)^(R$21-1)/1000</f>
        <v>0</v>
      </c>
      <c r="S53" s="52">
        <f>S52*VLOOKUP($A51,Hypothèses!$A$9:$H$28,8,FALSE)*(1+$E$19)^(S$21-1)/1000</f>
        <v>0</v>
      </c>
      <c r="T53" s="52">
        <f>T52*VLOOKUP($A51,Hypothèses!$A$9:$H$28,8,FALSE)*(1+$E$19)^(T$21-1)/1000</f>
        <v>0</v>
      </c>
      <c r="U53" s="52">
        <f>U52*VLOOKUP($A51,Hypothèses!$A$9:$H$28,8,FALSE)*(1+$E$19)^(U$21-1)/1000</f>
        <v>0</v>
      </c>
      <c r="V53" s="52">
        <f>V52*VLOOKUP($A51,Hypothèses!$A$9:$H$28,8,FALSE)*(1+$E$19)^(V$21-1)/1000</f>
        <v>0</v>
      </c>
      <c r="W53" s="52">
        <f>W52*VLOOKUP($A51,Hypothèses!$A$9:$H$28,8,FALSE)*(1+$E$19)^(W$21-1)/1000</f>
        <v>0</v>
      </c>
      <c r="X53" s="52">
        <f>X52*VLOOKUP($A51,Hypothèses!$A$9:$H$28,8,FALSE)*(1+$E$19)^(X$21-1)/1000</f>
        <v>0</v>
      </c>
    </row>
    <row r="54" spans="1:24" hidden="1" outlineLevel="2" x14ac:dyDescent="0.25">
      <c r="A54" s="555" t="str">
        <f>Hypothèses!A17</f>
        <v>Véhicule n°9</v>
      </c>
      <c r="B54" s="130" t="s">
        <v>65</v>
      </c>
      <c r="C54" s="124"/>
      <c r="D54" s="50"/>
      <c r="E54" s="213"/>
      <c r="F54" s="213"/>
      <c r="G54" s="213"/>
      <c r="H54" s="213"/>
      <c r="I54" s="213"/>
      <c r="J54" s="213"/>
      <c r="K54" s="213"/>
      <c r="L54" s="213"/>
      <c r="M54" s="213"/>
      <c r="N54" s="213"/>
      <c r="O54" s="213"/>
      <c r="P54" s="213"/>
      <c r="Q54" s="213"/>
      <c r="R54" s="213"/>
      <c r="S54" s="213"/>
      <c r="T54" s="213"/>
      <c r="U54" s="213"/>
      <c r="V54" s="213"/>
      <c r="W54" s="213"/>
      <c r="X54" s="213"/>
    </row>
    <row r="55" spans="1:24" hidden="1" outlineLevel="2" x14ac:dyDescent="0.25">
      <c r="A55" s="556"/>
      <c r="B55" s="46" t="s">
        <v>140</v>
      </c>
      <c r="C55" s="46"/>
      <c r="D55" s="88"/>
      <c r="E55" s="52">
        <f>E54*VLOOKUP($A54,Hypothèses!$A$9:$H$28,6,FALSE)</f>
        <v>0</v>
      </c>
      <c r="F55" s="52">
        <f>F54*VLOOKUP($A54,Hypothèses!$A$9:$H$28,6,FALSE)</f>
        <v>0</v>
      </c>
      <c r="G55" s="52">
        <f>G54*VLOOKUP($A54,Hypothèses!$A$9:$H$28,6,FALSE)</f>
        <v>0</v>
      </c>
      <c r="H55" s="52">
        <f>H54*VLOOKUP($A54,Hypothèses!$A$9:$H$28,6,FALSE)</f>
        <v>0</v>
      </c>
      <c r="I55" s="52">
        <f>I54*VLOOKUP($A54,Hypothèses!$A$9:$H$28,6,FALSE)</f>
        <v>0</v>
      </c>
      <c r="J55" s="52">
        <f>J54*VLOOKUP($A54,Hypothèses!$A$9:$H$28,6,FALSE)</f>
        <v>0</v>
      </c>
      <c r="K55" s="52">
        <f>K54*VLOOKUP($A54,Hypothèses!$A$9:$H$28,6,FALSE)</f>
        <v>0</v>
      </c>
      <c r="L55" s="52">
        <f>L54*VLOOKUP($A54,Hypothèses!$A$9:$H$28,6,FALSE)</f>
        <v>0</v>
      </c>
      <c r="M55" s="52">
        <f>M54*VLOOKUP($A54,Hypothèses!$A$9:$H$28,6,FALSE)</f>
        <v>0</v>
      </c>
      <c r="N55" s="52">
        <f>N54*VLOOKUP($A54,Hypothèses!$A$9:$H$28,6,FALSE)</f>
        <v>0</v>
      </c>
      <c r="O55" s="52">
        <f>O54*VLOOKUP($A54,Hypothèses!$A$9:$H$28,6,FALSE)</f>
        <v>0</v>
      </c>
      <c r="P55" s="52">
        <f>P54*VLOOKUP($A54,Hypothèses!$A$9:$H$28,6,FALSE)</f>
        <v>0</v>
      </c>
      <c r="Q55" s="52">
        <f>Q54*VLOOKUP($A54,Hypothèses!$A$9:$H$28,6,FALSE)</f>
        <v>0</v>
      </c>
      <c r="R55" s="52">
        <f>R54*VLOOKUP($A54,Hypothèses!$A$9:$H$28,6,FALSE)</f>
        <v>0</v>
      </c>
      <c r="S55" s="52">
        <f>S54*VLOOKUP($A54,Hypothèses!$A$9:$H$28,6,FALSE)</f>
        <v>0</v>
      </c>
      <c r="T55" s="52">
        <f>T54*VLOOKUP($A54,Hypothèses!$A$9:$H$28,6,FALSE)</f>
        <v>0</v>
      </c>
      <c r="U55" s="52">
        <f>U54*VLOOKUP($A54,Hypothèses!$A$9:$H$28,6,FALSE)</f>
        <v>0</v>
      </c>
      <c r="V55" s="52">
        <f>V54*VLOOKUP($A54,Hypothèses!$A$9:$H$28,6,FALSE)</f>
        <v>0</v>
      </c>
      <c r="W55" s="52">
        <f>W54*VLOOKUP($A54,Hypothèses!$A$9:$H$28,6,FALSE)</f>
        <v>0</v>
      </c>
      <c r="X55" s="52">
        <f>X54*VLOOKUP($A54,Hypothèses!$A$9:$H$28,6,FALSE)</f>
        <v>0</v>
      </c>
    </row>
    <row r="56" spans="1:24" hidden="1" outlineLevel="2" x14ac:dyDescent="0.25">
      <c r="A56" s="557"/>
      <c r="B56" s="46" t="s">
        <v>138</v>
      </c>
      <c r="C56" s="46"/>
      <c r="D56" s="48"/>
      <c r="E56" s="52">
        <f>E55*VLOOKUP($A54,Hypothèses!$A$9:$H$28,8,FALSE)*(1+$E$19)^(E$21-1)/1000</f>
        <v>0</v>
      </c>
      <c r="F56" s="52">
        <f>F55*VLOOKUP($A54,Hypothèses!$A$9:$H$28,8,FALSE)*(1+$E$19)^(F$21-1)/1000</f>
        <v>0</v>
      </c>
      <c r="G56" s="52">
        <f>G55*VLOOKUP($A54,Hypothèses!$A$9:$H$28,8,FALSE)*(1+$E$19)^(G$21-1)/1000</f>
        <v>0</v>
      </c>
      <c r="H56" s="52">
        <f>H55*VLOOKUP($A54,Hypothèses!$A$9:$H$28,8,FALSE)*(1+$E$19)^(H$21-1)/1000</f>
        <v>0</v>
      </c>
      <c r="I56" s="52">
        <f>I55*VLOOKUP($A54,Hypothèses!$A$9:$H$28,8,FALSE)*(1+$E$19)^(I$21-1)/1000</f>
        <v>0</v>
      </c>
      <c r="J56" s="52">
        <f>J55*VLOOKUP($A54,Hypothèses!$A$9:$H$28,8,FALSE)*(1+$E$19)^(J$21-1)/1000</f>
        <v>0</v>
      </c>
      <c r="K56" s="52">
        <f>K55*VLOOKUP($A54,Hypothèses!$A$9:$H$28,8,FALSE)*(1+$E$19)^(K$21-1)/1000</f>
        <v>0</v>
      </c>
      <c r="L56" s="52">
        <f>L55*VLOOKUP($A54,Hypothèses!$A$9:$H$28,8,FALSE)*(1+$E$19)^(L$21-1)/1000</f>
        <v>0</v>
      </c>
      <c r="M56" s="52">
        <f>M55*VLOOKUP($A54,Hypothèses!$A$9:$H$28,8,FALSE)*(1+$E$19)^(M$21-1)/1000</f>
        <v>0</v>
      </c>
      <c r="N56" s="52">
        <f>N55*VLOOKUP($A54,Hypothèses!$A$9:$H$28,8,FALSE)*(1+$E$19)^(N$21-1)/1000</f>
        <v>0</v>
      </c>
      <c r="O56" s="52">
        <f>O55*VLOOKUP($A54,Hypothèses!$A$9:$H$28,8,FALSE)*(1+$E$19)^(O$21-1)/1000</f>
        <v>0</v>
      </c>
      <c r="P56" s="52">
        <f>P55*VLOOKUP($A54,Hypothèses!$A$9:$H$28,8,FALSE)*(1+$E$19)^(P$21-1)/1000</f>
        <v>0</v>
      </c>
      <c r="Q56" s="52">
        <f>Q55*VLOOKUP($A54,Hypothèses!$A$9:$H$28,8,FALSE)*(1+$E$19)^(Q$21-1)/1000</f>
        <v>0</v>
      </c>
      <c r="R56" s="52">
        <f>R55*VLOOKUP($A54,Hypothèses!$A$9:$H$28,8,FALSE)*(1+$E$19)^(R$21-1)/1000</f>
        <v>0</v>
      </c>
      <c r="S56" s="52">
        <f>S55*VLOOKUP($A54,Hypothèses!$A$9:$H$28,8,FALSE)*(1+$E$19)^(S$21-1)/1000</f>
        <v>0</v>
      </c>
      <c r="T56" s="52">
        <f>T55*VLOOKUP($A54,Hypothèses!$A$9:$H$28,8,FALSE)*(1+$E$19)^(T$21-1)/1000</f>
        <v>0</v>
      </c>
      <c r="U56" s="52">
        <f>U55*VLOOKUP($A54,Hypothèses!$A$9:$H$28,8,FALSE)*(1+$E$19)^(U$21-1)/1000</f>
        <v>0</v>
      </c>
      <c r="V56" s="52">
        <f>V55*VLOOKUP($A54,Hypothèses!$A$9:$H$28,8,FALSE)*(1+$E$19)^(V$21-1)/1000</f>
        <v>0</v>
      </c>
      <c r="W56" s="52">
        <f>W55*VLOOKUP($A54,Hypothèses!$A$9:$H$28,8,FALSE)*(1+$E$19)^(W$21-1)/1000</f>
        <v>0</v>
      </c>
      <c r="X56" s="52">
        <f>X55*VLOOKUP($A54,Hypothèses!$A$9:$H$28,8,FALSE)*(1+$E$19)^(X$21-1)/1000</f>
        <v>0</v>
      </c>
    </row>
    <row r="57" spans="1:24" hidden="1" outlineLevel="2" x14ac:dyDescent="0.25">
      <c r="A57" s="555" t="str">
        <f>Hypothèses!A18</f>
        <v>Véhicule n°10</v>
      </c>
      <c r="B57" s="130" t="s">
        <v>65</v>
      </c>
      <c r="C57" s="124"/>
      <c r="D57" s="50"/>
      <c r="E57" s="213"/>
      <c r="F57" s="213"/>
      <c r="G57" s="213"/>
      <c r="H57" s="213"/>
      <c r="I57" s="213"/>
      <c r="J57" s="213"/>
      <c r="K57" s="213"/>
      <c r="L57" s="213"/>
      <c r="M57" s="213"/>
      <c r="N57" s="213"/>
      <c r="O57" s="213"/>
      <c r="P57" s="213"/>
      <c r="Q57" s="213"/>
      <c r="R57" s="213"/>
      <c r="S57" s="213"/>
      <c r="T57" s="213"/>
      <c r="U57" s="213"/>
      <c r="V57" s="213"/>
      <c r="W57" s="213"/>
      <c r="X57" s="213"/>
    </row>
    <row r="58" spans="1:24" hidden="1" outlineLevel="2" x14ac:dyDescent="0.25">
      <c r="A58" s="556"/>
      <c r="B58" s="46" t="s">
        <v>140</v>
      </c>
      <c r="C58" s="46"/>
      <c r="D58" s="88"/>
      <c r="E58" s="52">
        <f>E57*VLOOKUP($A57,Hypothèses!$A$9:$H$28,6,FALSE)</f>
        <v>0</v>
      </c>
      <c r="F58" s="52">
        <f>F57*VLOOKUP($A57,Hypothèses!$A$9:$H$28,6,FALSE)</f>
        <v>0</v>
      </c>
      <c r="G58" s="52">
        <f>G57*VLOOKUP($A57,Hypothèses!$A$9:$H$28,6,FALSE)</f>
        <v>0</v>
      </c>
      <c r="H58" s="52">
        <f>H57*VLOOKUP($A57,Hypothèses!$A$9:$H$28,6,FALSE)</f>
        <v>0</v>
      </c>
      <c r="I58" s="52">
        <f>I57*VLOOKUP($A57,Hypothèses!$A$9:$H$28,6,FALSE)</f>
        <v>0</v>
      </c>
      <c r="J58" s="52">
        <f>J57*VLOOKUP($A57,Hypothèses!$A$9:$H$28,6,FALSE)</f>
        <v>0</v>
      </c>
      <c r="K58" s="52">
        <f>K57*VLOOKUP($A57,Hypothèses!$A$9:$H$28,6,FALSE)</f>
        <v>0</v>
      </c>
      <c r="L58" s="52">
        <f>L57*VLOOKUP($A57,Hypothèses!$A$9:$H$28,6,FALSE)</f>
        <v>0</v>
      </c>
      <c r="M58" s="52">
        <f>M57*VLOOKUP($A57,Hypothèses!$A$9:$H$28,6,FALSE)</f>
        <v>0</v>
      </c>
      <c r="N58" s="52">
        <f>N57*VLOOKUP($A57,Hypothèses!$A$9:$H$28,6,FALSE)</f>
        <v>0</v>
      </c>
      <c r="O58" s="52">
        <f>O57*VLOOKUP($A57,Hypothèses!$A$9:$H$28,6,FALSE)</f>
        <v>0</v>
      </c>
      <c r="P58" s="52">
        <f>P57*VLOOKUP($A57,Hypothèses!$A$9:$H$28,6,FALSE)</f>
        <v>0</v>
      </c>
      <c r="Q58" s="52">
        <f>Q57*VLOOKUP($A57,Hypothèses!$A$9:$H$28,6,FALSE)</f>
        <v>0</v>
      </c>
      <c r="R58" s="52">
        <f>R57*VLOOKUP($A57,Hypothèses!$A$9:$H$28,6,FALSE)</f>
        <v>0</v>
      </c>
      <c r="S58" s="52">
        <f>S57*VLOOKUP($A57,Hypothèses!$A$9:$H$28,6,FALSE)</f>
        <v>0</v>
      </c>
      <c r="T58" s="52">
        <f>T57*VLOOKUP($A57,Hypothèses!$A$9:$H$28,6,FALSE)</f>
        <v>0</v>
      </c>
      <c r="U58" s="52">
        <f>U57*VLOOKUP($A57,Hypothèses!$A$9:$H$28,6,FALSE)</f>
        <v>0</v>
      </c>
      <c r="V58" s="52">
        <f>V57*VLOOKUP($A57,Hypothèses!$A$9:$H$28,6,FALSE)</f>
        <v>0</v>
      </c>
      <c r="W58" s="52">
        <f>W57*VLOOKUP($A57,Hypothèses!$A$9:$H$28,6,FALSE)</f>
        <v>0</v>
      </c>
      <c r="X58" s="52">
        <f>X57*VLOOKUP($A57,Hypothèses!$A$9:$H$28,6,FALSE)</f>
        <v>0</v>
      </c>
    </row>
    <row r="59" spans="1:24" hidden="1" outlineLevel="2" x14ac:dyDescent="0.25">
      <c r="A59" s="557"/>
      <c r="B59" s="46" t="s">
        <v>138</v>
      </c>
      <c r="C59" s="46"/>
      <c r="D59" s="55"/>
      <c r="E59" s="52">
        <f>E58*VLOOKUP($A57,Hypothèses!$A$9:$H$28,8,FALSE)*(1+$E$19)^(E$21-1)/1000</f>
        <v>0</v>
      </c>
      <c r="F59" s="52">
        <f>F58*VLOOKUP($A57,Hypothèses!$A$9:$H$28,8,FALSE)*(1+$E$19)^(F$21-1)/1000</f>
        <v>0</v>
      </c>
      <c r="G59" s="52">
        <f>G58*VLOOKUP($A57,Hypothèses!$A$9:$H$28,8,FALSE)*(1+$E$19)^(G$21-1)/1000</f>
        <v>0</v>
      </c>
      <c r="H59" s="52">
        <f>H58*VLOOKUP($A57,Hypothèses!$A$9:$H$28,8,FALSE)*(1+$E$19)^(H$21-1)/1000</f>
        <v>0</v>
      </c>
      <c r="I59" s="52">
        <f>I58*VLOOKUP($A57,Hypothèses!$A$9:$H$28,8,FALSE)*(1+$E$19)^(I$21-1)/1000</f>
        <v>0</v>
      </c>
      <c r="J59" s="52">
        <f>J58*VLOOKUP($A57,Hypothèses!$A$9:$H$28,8,FALSE)*(1+$E$19)^(J$21-1)/1000</f>
        <v>0</v>
      </c>
      <c r="K59" s="52">
        <f>K58*VLOOKUP($A57,Hypothèses!$A$9:$H$28,8,FALSE)*(1+$E$19)^(K$21-1)/1000</f>
        <v>0</v>
      </c>
      <c r="L59" s="52">
        <f>L58*VLOOKUP($A57,Hypothèses!$A$9:$H$28,8,FALSE)*(1+$E$19)^(L$21-1)/1000</f>
        <v>0</v>
      </c>
      <c r="M59" s="52">
        <f>M58*VLOOKUP($A57,Hypothèses!$A$9:$H$28,8,FALSE)*(1+$E$19)^(M$21-1)/1000</f>
        <v>0</v>
      </c>
      <c r="N59" s="52">
        <f>N58*VLOOKUP($A57,Hypothèses!$A$9:$H$28,8,FALSE)*(1+$E$19)^(N$21-1)/1000</f>
        <v>0</v>
      </c>
      <c r="O59" s="52">
        <f>O58*VLOOKUP($A57,Hypothèses!$A$9:$H$28,8,FALSE)*(1+$E$19)^(O$21-1)/1000</f>
        <v>0</v>
      </c>
      <c r="P59" s="52">
        <f>P58*VLOOKUP($A57,Hypothèses!$A$9:$H$28,8,FALSE)*(1+$E$19)^(P$21-1)/1000</f>
        <v>0</v>
      </c>
      <c r="Q59" s="52">
        <f>Q58*VLOOKUP($A57,Hypothèses!$A$9:$H$28,8,FALSE)*(1+$E$19)^(Q$21-1)/1000</f>
        <v>0</v>
      </c>
      <c r="R59" s="52">
        <f>R58*VLOOKUP($A57,Hypothèses!$A$9:$H$28,8,FALSE)*(1+$E$19)^(R$21-1)/1000</f>
        <v>0</v>
      </c>
      <c r="S59" s="52">
        <f>S58*VLOOKUP($A57,Hypothèses!$A$9:$H$28,8,FALSE)*(1+$E$19)^(S$21-1)/1000</f>
        <v>0</v>
      </c>
      <c r="T59" s="52">
        <f>T58*VLOOKUP($A57,Hypothèses!$A$9:$H$28,8,FALSE)*(1+$E$19)^(T$21-1)/1000</f>
        <v>0</v>
      </c>
      <c r="U59" s="52">
        <f>U58*VLOOKUP($A57,Hypothèses!$A$9:$H$28,8,FALSE)*(1+$E$19)^(U$21-1)/1000</f>
        <v>0</v>
      </c>
      <c r="V59" s="52">
        <f>V58*VLOOKUP($A57,Hypothèses!$A$9:$H$28,8,FALSE)*(1+$E$19)^(V$21-1)/1000</f>
        <v>0</v>
      </c>
      <c r="W59" s="52">
        <f>W58*VLOOKUP($A57,Hypothèses!$A$9:$H$28,8,FALSE)*(1+$E$19)^(W$21-1)/1000</f>
        <v>0</v>
      </c>
      <c r="X59" s="52">
        <f>X58*VLOOKUP($A57,Hypothèses!$A$9:$H$28,8,FALSE)*(1+$E$19)^(X$21-1)/1000</f>
        <v>0</v>
      </c>
    </row>
    <row r="60" spans="1:24" hidden="1" outlineLevel="3" x14ac:dyDescent="0.25">
      <c r="A60" s="555" t="str">
        <f>Hypothèses!A$19</f>
        <v>Véhicule n°11</v>
      </c>
      <c r="B60" s="130" t="s">
        <v>65</v>
      </c>
      <c r="C60" s="124"/>
      <c r="D60" s="50"/>
      <c r="E60" s="213"/>
      <c r="F60" s="213"/>
      <c r="G60" s="213"/>
      <c r="H60" s="213"/>
      <c r="I60" s="213"/>
      <c r="J60" s="213"/>
      <c r="K60" s="213"/>
      <c r="L60" s="213"/>
      <c r="M60" s="213"/>
      <c r="N60" s="213"/>
      <c r="O60" s="213"/>
      <c r="P60" s="213"/>
      <c r="Q60" s="213"/>
      <c r="R60" s="213"/>
      <c r="S60" s="213"/>
      <c r="T60" s="213"/>
      <c r="U60" s="213"/>
      <c r="V60" s="213"/>
      <c r="W60" s="213"/>
      <c r="X60" s="213"/>
    </row>
    <row r="61" spans="1:24" hidden="1" outlineLevel="3" x14ac:dyDescent="0.25">
      <c r="A61" s="556"/>
      <c r="B61" s="46" t="s">
        <v>140</v>
      </c>
      <c r="C61" s="46"/>
      <c r="D61" s="87"/>
      <c r="E61" s="52">
        <f>E60*VLOOKUP($A60,Hypothèses!$A$9:$H$28,6,FALSE)</f>
        <v>0</v>
      </c>
      <c r="F61" s="52">
        <f>F60*VLOOKUP($A60,Hypothèses!$A$9:$H$28,6,FALSE)</f>
        <v>0</v>
      </c>
      <c r="G61" s="52">
        <f>G60*VLOOKUP($A60,Hypothèses!$A$9:$H$28,6,FALSE)</f>
        <v>0</v>
      </c>
      <c r="H61" s="52">
        <f>H60*VLOOKUP($A60,Hypothèses!$A$9:$H$28,6,FALSE)</f>
        <v>0</v>
      </c>
      <c r="I61" s="52">
        <f>I60*VLOOKUP($A60,Hypothèses!$A$9:$H$28,6,FALSE)</f>
        <v>0</v>
      </c>
      <c r="J61" s="52">
        <f>J60*VLOOKUP($A60,Hypothèses!$A$9:$H$28,6,FALSE)</f>
        <v>0</v>
      </c>
      <c r="K61" s="52">
        <f>K60*VLOOKUP($A60,Hypothèses!$A$9:$H$28,6,FALSE)</f>
        <v>0</v>
      </c>
      <c r="L61" s="52">
        <f>L60*VLOOKUP($A60,Hypothèses!$A$9:$H$28,6,FALSE)</f>
        <v>0</v>
      </c>
      <c r="M61" s="52">
        <f>M60*VLOOKUP($A60,Hypothèses!$A$9:$H$28,6,FALSE)</f>
        <v>0</v>
      </c>
      <c r="N61" s="52">
        <f>N60*VLOOKUP($A60,Hypothèses!$A$9:$H$28,6,FALSE)</f>
        <v>0</v>
      </c>
      <c r="O61" s="52">
        <f>O60*VLOOKUP($A60,Hypothèses!$A$9:$H$28,6,FALSE)</f>
        <v>0</v>
      </c>
      <c r="P61" s="52">
        <f>P60*VLOOKUP($A60,Hypothèses!$A$9:$H$28,6,FALSE)</f>
        <v>0</v>
      </c>
      <c r="Q61" s="52">
        <f>Q60*VLOOKUP($A60,Hypothèses!$A$9:$H$28,6,FALSE)</f>
        <v>0</v>
      </c>
      <c r="R61" s="52">
        <f>R60*VLOOKUP($A60,Hypothèses!$A$9:$H$28,6,FALSE)</f>
        <v>0</v>
      </c>
      <c r="S61" s="52">
        <f>S60*VLOOKUP($A60,Hypothèses!$A$9:$H$28,6,FALSE)</f>
        <v>0</v>
      </c>
      <c r="T61" s="52">
        <f>T60*VLOOKUP($A60,Hypothèses!$A$9:$H$28,6,FALSE)</f>
        <v>0</v>
      </c>
      <c r="U61" s="52">
        <f>U60*VLOOKUP($A60,Hypothèses!$A$9:$H$28,6,FALSE)</f>
        <v>0</v>
      </c>
      <c r="V61" s="52">
        <f>V60*VLOOKUP($A60,Hypothèses!$A$9:$H$28,6,FALSE)</f>
        <v>0</v>
      </c>
      <c r="W61" s="52">
        <f>W60*VLOOKUP($A60,Hypothèses!$A$9:$H$28,6,FALSE)</f>
        <v>0</v>
      </c>
      <c r="X61" s="52">
        <f>X60*VLOOKUP($A60,Hypothèses!$A$9:$H$28,6,FALSE)</f>
        <v>0</v>
      </c>
    </row>
    <row r="62" spans="1:24" hidden="1" outlineLevel="3" x14ac:dyDescent="0.25">
      <c r="A62" s="557"/>
      <c r="B62" s="46" t="s">
        <v>138</v>
      </c>
      <c r="C62" s="46"/>
      <c r="D62" s="48"/>
      <c r="E62" s="52">
        <f>E61*VLOOKUP($A60,Hypothèses!$A$9:$H$28,8,FALSE)*(1+$E$19)^(E$21-1)/1000</f>
        <v>0</v>
      </c>
      <c r="F62" s="52">
        <f>F61*VLOOKUP($A60,Hypothèses!$A$9:$H$28,8,FALSE)*(1+$E$19)^(F$21-1)/1000</f>
        <v>0</v>
      </c>
      <c r="G62" s="52">
        <f>G61*VLOOKUP($A60,Hypothèses!$A$9:$H$28,8,FALSE)*(1+$E$19)^(G$21-1)/1000</f>
        <v>0</v>
      </c>
      <c r="H62" s="52">
        <f>H61*VLOOKUP($A60,Hypothèses!$A$9:$H$28,8,FALSE)*(1+$E$19)^(H$21-1)/1000</f>
        <v>0</v>
      </c>
      <c r="I62" s="52">
        <f>I61*VLOOKUP($A60,Hypothèses!$A$9:$H$28,8,FALSE)*(1+$E$19)^(I$21-1)/1000</f>
        <v>0</v>
      </c>
      <c r="J62" s="52">
        <f>J61*VLOOKUP($A60,Hypothèses!$A$9:$H$28,8,FALSE)*(1+$E$19)^(J$21-1)/1000</f>
        <v>0</v>
      </c>
      <c r="K62" s="52">
        <f>K61*VLOOKUP($A60,Hypothèses!$A$9:$H$28,8,FALSE)*(1+$E$19)^(K$21-1)/1000</f>
        <v>0</v>
      </c>
      <c r="L62" s="52">
        <f>L61*VLOOKUP($A60,Hypothèses!$A$9:$H$28,8,FALSE)*(1+$E$19)^(L$21-1)/1000</f>
        <v>0</v>
      </c>
      <c r="M62" s="52">
        <f>M61*VLOOKUP($A60,Hypothèses!$A$9:$H$28,8,FALSE)*(1+$E$19)^(M$21-1)/1000</f>
        <v>0</v>
      </c>
      <c r="N62" s="52">
        <f>N61*VLOOKUP($A60,Hypothèses!$A$9:$H$28,8,FALSE)*(1+$E$19)^(N$21-1)/1000</f>
        <v>0</v>
      </c>
      <c r="O62" s="52">
        <f>O61*VLOOKUP($A60,Hypothèses!$A$9:$H$28,8,FALSE)*(1+$E$19)^(O$21-1)/1000</f>
        <v>0</v>
      </c>
      <c r="P62" s="52">
        <f>P61*VLOOKUP($A60,Hypothèses!$A$9:$H$28,8,FALSE)*(1+$E$19)^(P$21-1)/1000</f>
        <v>0</v>
      </c>
      <c r="Q62" s="52">
        <f>Q61*VLOOKUP($A60,Hypothèses!$A$9:$H$28,8,FALSE)*(1+$E$19)^(Q$21-1)/1000</f>
        <v>0</v>
      </c>
      <c r="R62" s="52">
        <f>R61*VLOOKUP($A60,Hypothèses!$A$9:$H$28,8,FALSE)*(1+$E$19)^(R$21-1)/1000</f>
        <v>0</v>
      </c>
      <c r="S62" s="52">
        <f>S61*VLOOKUP($A60,Hypothèses!$A$9:$H$28,8,FALSE)*(1+$E$19)^(S$21-1)/1000</f>
        <v>0</v>
      </c>
      <c r="T62" s="52">
        <f>T61*VLOOKUP($A60,Hypothèses!$A$9:$H$28,8,FALSE)*(1+$E$19)^(T$21-1)/1000</f>
        <v>0</v>
      </c>
      <c r="U62" s="52">
        <f>U61*VLOOKUP($A60,Hypothèses!$A$9:$H$28,8,FALSE)*(1+$E$19)^(U$21-1)/1000</f>
        <v>0</v>
      </c>
      <c r="V62" s="52">
        <f>V61*VLOOKUP($A60,Hypothèses!$A$9:$H$28,8,FALSE)*(1+$E$19)^(V$21-1)/1000</f>
        <v>0</v>
      </c>
      <c r="W62" s="52">
        <f>W61*VLOOKUP($A60,Hypothèses!$A$9:$H$28,8,FALSE)*(1+$E$19)^(W$21-1)/1000</f>
        <v>0</v>
      </c>
      <c r="X62" s="52">
        <f>X61*VLOOKUP($A60,Hypothèses!$A$9:$H$28,8,FALSE)*(1+$E$19)^(X$21-1)/1000</f>
        <v>0</v>
      </c>
    </row>
    <row r="63" spans="1:24" hidden="1" outlineLevel="3" x14ac:dyDescent="0.25">
      <c r="A63" s="555" t="str">
        <f>Hypothèses!A$20</f>
        <v>Véhicule n°12</v>
      </c>
      <c r="B63" s="130" t="s">
        <v>65</v>
      </c>
      <c r="C63" s="124"/>
      <c r="D63" s="50"/>
      <c r="E63" s="213"/>
      <c r="F63" s="213"/>
      <c r="G63" s="213"/>
      <c r="H63" s="213"/>
      <c r="I63" s="213"/>
      <c r="J63" s="213"/>
      <c r="K63" s="213"/>
      <c r="L63" s="213"/>
      <c r="M63" s="213"/>
      <c r="N63" s="213"/>
      <c r="O63" s="213"/>
      <c r="P63" s="213"/>
      <c r="Q63" s="213"/>
      <c r="R63" s="213"/>
      <c r="S63" s="213"/>
      <c r="T63" s="213"/>
      <c r="U63" s="213"/>
      <c r="V63" s="213"/>
      <c r="W63" s="213"/>
      <c r="X63" s="213"/>
    </row>
    <row r="64" spans="1:24" hidden="1" outlineLevel="3" x14ac:dyDescent="0.25">
      <c r="A64" s="556"/>
      <c r="B64" s="46" t="s">
        <v>140</v>
      </c>
      <c r="C64" s="46"/>
      <c r="D64" s="87"/>
      <c r="E64" s="52">
        <f>E63*VLOOKUP($A63,Hypothèses!$A$9:$H$28,6,FALSE)</f>
        <v>0</v>
      </c>
      <c r="F64" s="52">
        <f>F63*VLOOKUP($A63,Hypothèses!$A$9:$H$28,6,FALSE)</f>
        <v>0</v>
      </c>
      <c r="G64" s="52">
        <f>G63*VLOOKUP($A63,Hypothèses!$A$9:$H$28,6,FALSE)</f>
        <v>0</v>
      </c>
      <c r="H64" s="52">
        <f>H63*VLOOKUP($A63,Hypothèses!$A$9:$H$28,6,FALSE)</f>
        <v>0</v>
      </c>
      <c r="I64" s="52">
        <f>I63*VLOOKUP($A63,Hypothèses!$A$9:$H$28,6,FALSE)</f>
        <v>0</v>
      </c>
      <c r="J64" s="52">
        <f>J63*VLOOKUP($A63,Hypothèses!$A$9:$H$28,6,FALSE)</f>
        <v>0</v>
      </c>
      <c r="K64" s="52">
        <f>K63*VLOOKUP($A63,Hypothèses!$A$9:$H$28,6,FALSE)</f>
        <v>0</v>
      </c>
      <c r="L64" s="52">
        <f>L63*VLOOKUP($A63,Hypothèses!$A$9:$H$28,6,FALSE)</f>
        <v>0</v>
      </c>
      <c r="M64" s="52">
        <f>M63*VLOOKUP($A63,Hypothèses!$A$9:$H$28,6,FALSE)</f>
        <v>0</v>
      </c>
      <c r="N64" s="52">
        <f>N63*VLOOKUP($A63,Hypothèses!$A$9:$H$28,6,FALSE)</f>
        <v>0</v>
      </c>
      <c r="O64" s="52">
        <f>O63*VLOOKUP($A63,Hypothèses!$A$9:$H$28,6,FALSE)</f>
        <v>0</v>
      </c>
      <c r="P64" s="52">
        <f>P63*VLOOKUP($A63,Hypothèses!$A$9:$H$28,6,FALSE)</f>
        <v>0</v>
      </c>
      <c r="Q64" s="52">
        <f>Q63*VLOOKUP($A63,Hypothèses!$A$9:$H$28,6,FALSE)</f>
        <v>0</v>
      </c>
      <c r="R64" s="52">
        <f>R63*VLOOKUP($A63,Hypothèses!$A$9:$H$28,6,FALSE)</f>
        <v>0</v>
      </c>
      <c r="S64" s="52">
        <f>S63*VLOOKUP($A63,Hypothèses!$A$9:$H$28,6,FALSE)</f>
        <v>0</v>
      </c>
      <c r="T64" s="52">
        <f>T63*VLOOKUP($A63,Hypothèses!$A$9:$H$28,6,FALSE)</f>
        <v>0</v>
      </c>
      <c r="U64" s="52">
        <f>U63*VLOOKUP($A63,Hypothèses!$A$9:$H$28,6,FALSE)</f>
        <v>0</v>
      </c>
      <c r="V64" s="52">
        <f>V63*VLOOKUP($A63,Hypothèses!$A$9:$H$28,6,FALSE)</f>
        <v>0</v>
      </c>
      <c r="W64" s="52">
        <f>W63*VLOOKUP($A63,Hypothèses!$A$9:$H$28,6,FALSE)</f>
        <v>0</v>
      </c>
      <c r="X64" s="52">
        <f>X63*VLOOKUP($A63,Hypothèses!$A$9:$H$28,6,FALSE)</f>
        <v>0</v>
      </c>
    </row>
    <row r="65" spans="1:24" hidden="1" outlineLevel="3" x14ac:dyDescent="0.25">
      <c r="A65" s="557"/>
      <c r="B65" s="46" t="s">
        <v>138</v>
      </c>
      <c r="C65" s="46"/>
      <c r="D65" s="48"/>
      <c r="E65" s="52">
        <f>E64*VLOOKUP($A63,Hypothèses!$A$9:$H$28,8,FALSE)*(1+$E$19)^(E$21-1)/1000</f>
        <v>0</v>
      </c>
      <c r="F65" s="52">
        <f>F64*VLOOKUP($A63,Hypothèses!$A$9:$H$28,8,FALSE)*(1+$E$19)^(F$21-1)/1000</f>
        <v>0</v>
      </c>
      <c r="G65" s="52">
        <f>G64*VLOOKUP($A63,Hypothèses!$A$9:$H$28,8,FALSE)*(1+$E$19)^(G$21-1)/1000</f>
        <v>0</v>
      </c>
      <c r="H65" s="52">
        <f>H64*VLOOKUP($A63,Hypothèses!$A$9:$H$28,8,FALSE)*(1+$E$19)^(H$21-1)/1000</f>
        <v>0</v>
      </c>
      <c r="I65" s="52">
        <f>I64*VLOOKUP($A63,Hypothèses!$A$9:$H$28,8,FALSE)*(1+$E$19)^(I$21-1)/1000</f>
        <v>0</v>
      </c>
      <c r="J65" s="52">
        <f>J64*VLOOKUP($A63,Hypothèses!$A$9:$H$28,8,FALSE)*(1+$E$19)^(J$21-1)/1000</f>
        <v>0</v>
      </c>
      <c r="K65" s="52">
        <f>K64*VLOOKUP($A63,Hypothèses!$A$9:$H$28,8,FALSE)*(1+$E$19)^(K$21-1)/1000</f>
        <v>0</v>
      </c>
      <c r="L65" s="52">
        <f>L64*VLOOKUP($A63,Hypothèses!$A$9:$H$28,8,FALSE)*(1+$E$19)^(L$21-1)/1000</f>
        <v>0</v>
      </c>
      <c r="M65" s="52">
        <f>M64*VLOOKUP($A63,Hypothèses!$A$9:$H$28,8,FALSE)*(1+$E$19)^(M$21-1)/1000</f>
        <v>0</v>
      </c>
      <c r="N65" s="52">
        <f>N64*VLOOKUP($A63,Hypothèses!$A$9:$H$28,8,FALSE)*(1+$E$19)^(N$21-1)/1000</f>
        <v>0</v>
      </c>
      <c r="O65" s="52">
        <f>O64*VLOOKUP($A63,Hypothèses!$A$9:$H$28,8,FALSE)*(1+$E$19)^(O$21-1)/1000</f>
        <v>0</v>
      </c>
      <c r="P65" s="52">
        <f>P64*VLOOKUP($A63,Hypothèses!$A$9:$H$28,8,FALSE)*(1+$E$19)^(P$21-1)/1000</f>
        <v>0</v>
      </c>
      <c r="Q65" s="52">
        <f>Q64*VLOOKUP($A63,Hypothèses!$A$9:$H$28,8,FALSE)*(1+$E$19)^(Q$21-1)/1000</f>
        <v>0</v>
      </c>
      <c r="R65" s="52">
        <f>R64*VLOOKUP($A63,Hypothèses!$A$9:$H$28,8,FALSE)*(1+$E$19)^(R$21-1)/1000</f>
        <v>0</v>
      </c>
      <c r="S65" s="52">
        <f>S64*VLOOKUP($A63,Hypothèses!$A$9:$H$28,8,FALSE)*(1+$E$19)^(S$21-1)/1000</f>
        <v>0</v>
      </c>
      <c r="T65" s="52">
        <f>T64*VLOOKUP($A63,Hypothèses!$A$9:$H$28,8,FALSE)*(1+$E$19)^(T$21-1)/1000</f>
        <v>0</v>
      </c>
      <c r="U65" s="52">
        <f>U64*VLOOKUP($A63,Hypothèses!$A$9:$H$28,8,FALSE)*(1+$E$19)^(U$21-1)/1000</f>
        <v>0</v>
      </c>
      <c r="V65" s="52">
        <f>V64*VLOOKUP($A63,Hypothèses!$A$9:$H$28,8,FALSE)*(1+$E$19)^(V$21-1)/1000</f>
        <v>0</v>
      </c>
      <c r="W65" s="52">
        <f>W64*VLOOKUP($A63,Hypothèses!$A$9:$H$28,8,FALSE)*(1+$E$19)^(W$21-1)/1000</f>
        <v>0</v>
      </c>
      <c r="X65" s="52">
        <f>X64*VLOOKUP($A63,Hypothèses!$A$9:$H$28,8,FALSE)*(1+$E$19)^(X$21-1)/1000</f>
        <v>0</v>
      </c>
    </row>
    <row r="66" spans="1:24" hidden="1" outlineLevel="3" x14ac:dyDescent="0.25">
      <c r="A66" s="555" t="str">
        <f>Hypothèses!A$21</f>
        <v>Véhicule n°13</v>
      </c>
      <c r="B66" s="130" t="s">
        <v>65</v>
      </c>
      <c r="C66" s="124"/>
      <c r="D66" s="50"/>
      <c r="E66" s="213"/>
      <c r="F66" s="213"/>
      <c r="G66" s="213"/>
      <c r="H66" s="213"/>
      <c r="I66" s="213"/>
      <c r="J66" s="213"/>
      <c r="K66" s="213"/>
      <c r="L66" s="213"/>
      <c r="M66" s="213"/>
      <c r="N66" s="213"/>
      <c r="O66" s="213"/>
      <c r="P66" s="213"/>
      <c r="Q66" s="213"/>
      <c r="R66" s="213"/>
      <c r="S66" s="213"/>
      <c r="T66" s="213"/>
      <c r="U66" s="213"/>
      <c r="V66" s="213"/>
      <c r="W66" s="213"/>
      <c r="X66" s="213"/>
    </row>
    <row r="67" spans="1:24" hidden="1" outlineLevel="3" x14ac:dyDescent="0.25">
      <c r="A67" s="556"/>
      <c r="B67" s="46" t="s">
        <v>140</v>
      </c>
      <c r="C67" s="46"/>
      <c r="D67" s="88"/>
      <c r="E67" s="52">
        <f>E66*VLOOKUP($A66,Hypothèses!$A$9:$H$28,6,FALSE)</f>
        <v>0</v>
      </c>
      <c r="F67" s="52">
        <f>F66*VLOOKUP($A66,Hypothèses!$A$9:$H$28,6,FALSE)</f>
        <v>0</v>
      </c>
      <c r="G67" s="52">
        <f>G66*VLOOKUP($A66,Hypothèses!$A$9:$H$28,6,FALSE)</f>
        <v>0</v>
      </c>
      <c r="H67" s="52">
        <f>H66*VLOOKUP($A66,Hypothèses!$A$9:$H$28,6,FALSE)</f>
        <v>0</v>
      </c>
      <c r="I67" s="52">
        <f>I66*VLOOKUP($A66,Hypothèses!$A$9:$H$28,6,FALSE)</f>
        <v>0</v>
      </c>
      <c r="J67" s="52">
        <f>J66*VLOOKUP($A66,Hypothèses!$A$9:$H$28,6,FALSE)</f>
        <v>0</v>
      </c>
      <c r="K67" s="52">
        <f>K66*VLOOKUP($A66,Hypothèses!$A$9:$H$28,6,FALSE)</f>
        <v>0</v>
      </c>
      <c r="L67" s="52">
        <f>L66*VLOOKUP($A66,Hypothèses!$A$9:$H$28,6,FALSE)</f>
        <v>0</v>
      </c>
      <c r="M67" s="52">
        <f>M66*VLOOKUP($A66,Hypothèses!$A$9:$H$28,6,FALSE)</f>
        <v>0</v>
      </c>
      <c r="N67" s="52">
        <f>N66*VLOOKUP($A66,Hypothèses!$A$9:$H$28,6,FALSE)</f>
        <v>0</v>
      </c>
      <c r="O67" s="52">
        <f>O66*VLOOKUP($A66,Hypothèses!$A$9:$H$28,6,FALSE)</f>
        <v>0</v>
      </c>
      <c r="P67" s="52">
        <f>P66*VLOOKUP($A66,Hypothèses!$A$9:$H$28,6,FALSE)</f>
        <v>0</v>
      </c>
      <c r="Q67" s="52">
        <f>Q66*VLOOKUP($A66,Hypothèses!$A$9:$H$28,6,FALSE)</f>
        <v>0</v>
      </c>
      <c r="R67" s="52">
        <f>R66*VLOOKUP($A66,Hypothèses!$A$9:$H$28,6,FALSE)</f>
        <v>0</v>
      </c>
      <c r="S67" s="52">
        <f>S66*VLOOKUP($A66,Hypothèses!$A$9:$H$28,6,FALSE)</f>
        <v>0</v>
      </c>
      <c r="T67" s="52">
        <f>T66*VLOOKUP($A66,Hypothèses!$A$9:$H$28,6,FALSE)</f>
        <v>0</v>
      </c>
      <c r="U67" s="52">
        <f>U66*VLOOKUP($A66,Hypothèses!$A$9:$H$28,6,FALSE)</f>
        <v>0</v>
      </c>
      <c r="V67" s="52">
        <f>V66*VLOOKUP($A66,Hypothèses!$A$9:$H$28,6,FALSE)</f>
        <v>0</v>
      </c>
      <c r="W67" s="52">
        <f>W66*VLOOKUP($A66,Hypothèses!$A$9:$H$28,6,FALSE)</f>
        <v>0</v>
      </c>
      <c r="X67" s="52">
        <f>X66*VLOOKUP($A66,Hypothèses!$A$9:$H$28,6,FALSE)</f>
        <v>0</v>
      </c>
    </row>
    <row r="68" spans="1:24" hidden="1" outlineLevel="3" x14ac:dyDescent="0.25">
      <c r="A68" s="557"/>
      <c r="B68" s="46" t="s">
        <v>138</v>
      </c>
      <c r="C68" s="46"/>
      <c r="D68" s="48"/>
      <c r="E68" s="52">
        <f>E67*VLOOKUP($A66,Hypothèses!$A$9:$H$28,8,FALSE)*(1+$E$19)^(E$21-1)/1000</f>
        <v>0</v>
      </c>
      <c r="F68" s="52">
        <f>F67*VLOOKUP($A66,Hypothèses!$A$9:$H$28,8,FALSE)*(1+$E$19)^(F$21-1)/1000</f>
        <v>0</v>
      </c>
      <c r="G68" s="52">
        <f>G67*VLOOKUP($A66,Hypothèses!$A$9:$H$28,8,FALSE)*(1+$E$19)^(G$21-1)/1000</f>
        <v>0</v>
      </c>
      <c r="H68" s="52">
        <f>H67*VLOOKUP($A66,Hypothèses!$A$9:$H$28,8,FALSE)*(1+$E$19)^(H$21-1)/1000</f>
        <v>0</v>
      </c>
      <c r="I68" s="52">
        <f>I67*VLOOKUP($A66,Hypothèses!$A$9:$H$28,8,FALSE)*(1+$E$19)^(I$21-1)/1000</f>
        <v>0</v>
      </c>
      <c r="J68" s="52">
        <f>J67*VLOOKUP($A66,Hypothèses!$A$9:$H$28,8,FALSE)*(1+$E$19)^(J$21-1)/1000</f>
        <v>0</v>
      </c>
      <c r="K68" s="52">
        <f>K67*VLOOKUP($A66,Hypothèses!$A$9:$H$28,8,FALSE)*(1+$E$19)^(K$21-1)/1000</f>
        <v>0</v>
      </c>
      <c r="L68" s="52">
        <f>L67*VLOOKUP($A66,Hypothèses!$A$9:$H$28,8,FALSE)*(1+$E$19)^(L$21-1)/1000</f>
        <v>0</v>
      </c>
      <c r="M68" s="52">
        <f>M67*VLOOKUP($A66,Hypothèses!$A$9:$H$28,8,FALSE)*(1+$E$19)^(M$21-1)/1000</f>
        <v>0</v>
      </c>
      <c r="N68" s="52">
        <f>N67*VLOOKUP($A66,Hypothèses!$A$9:$H$28,8,FALSE)*(1+$E$19)^(N$21-1)/1000</f>
        <v>0</v>
      </c>
      <c r="O68" s="52">
        <f>O67*VLOOKUP($A66,Hypothèses!$A$9:$H$28,8,FALSE)*(1+$E$19)^(O$21-1)/1000</f>
        <v>0</v>
      </c>
      <c r="P68" s="52">
        <f>P67*VLOOKUP($A66,Hypothèses!$A$9:$H$28,8,FALSE)*(1+$E$19)^(P$21-1)/1000</f>
        <v>0</v>
      </c>
      <c r="Q68" s="52">
        <f>Q67*VLOOKUP($A66,Hypothèses!$A$9:$H$28,8,FALSE)*(1+$E$19)^(Q$21-1)/1000</f>
        <v>0</v>
      </c>
      <c r="R68" s="52">
        <f>R67*VLOOKUP($A66,Hypothèses!$A$9:$H$28,8,FALSE)*(1+$E$19)^(R$21-1)/1000</f>
        <v>0</v>
      </c>
      <c r="S68" s="52">
        <f>S67*VLOOKUP($A66,Hypothèses!$A$9:$H$28,8,FALSE)*(1+$E$19)^(S$21-1)/1000</f>
        <v>0</v>
      </c>
      <c r="T68" s="52">
        <f>T67*VLOOKUP($A66,Hypothèses!$A$9:$H$28,8,FALSE)*(1+$E$19)^(T$21-1)/1000</f>
        <v>0</v>
      </c>
      <c r="U68" s="52">
        <f>U67*VLOOKUP($A66,Hypothèses!$A$9:$H$28,8,FALSE)*(1+$E$19)^(U$21-1)/1000</f>
        <v>0</v>
      </c>
      <c r="V68" s="52">
        <f>V67*VLOOKUP($A66,Hypothèses!$A$9:$H$28,8,FALSE)*(1+$E$19)^(V$21-1)/1000</f>
        <v>0</v>
      </c>
      <c r="W68" s="52">
        <f>W67*VLOOKUP($A66,Hypothèses!$A$9:$H$28,8,FALSE)*(1+$E$19)^(W$21-1)/1000</f>
        <v>0</v>
      </c>
      <c r="X68" s="52">
        <f>X67*VLOOKUP($A66,Hypothèses!$A$9:$H$28,8,FALSE)*(1+$E$19)^(X$21-1)/1000</f>
        <v>0</v>
      </c>
    </row>
    <row r="69" spans="1:24" hidden="1" outlineLevel="3" x14ac:dyDescent="0.25">
      <c r="A69" s="555" t="str">
        <f>Hypothèses!A$22</f>
        <v>Véhicule n°14</v>
      </c>
      <c r="B69" s="130" t="s">
        <v>65</v>
      </c>
      <c r="C69" s="124"/>
      <c r="D69" s="50"/>
      <c r="E69" s="213"/>
      <c r="F69" s="213"/>
      <c r="G69" s="213"/>
      <c r="H69" s="213"/>
      <c r="I69" s="213"/>
      <c r="J69" s="213"/>
      <c r="K69" s="213"/>
      <c r="L69" s="213"/>
      <c r="M69" s="213"/>
      <c r="N69" s="213"/>
      <c r="O69" s="213"/>
      <c r="P69" s="213"/>
      <c r="Q69" s="213"/>
      <c r="R69" s="213"/>
      <c r="S69" s="213"/>
      <c r="T69" s="213"/>
      <c r="U69" s="213"/>
      <c r="V69" s="213"/>
      <c r="W69" s="213"/>
      <c r="X69" s="213"/>
    </row>
    <row r="70" spans="1:24" hidden="1" outlineLevel="3" x14ac:dyDescent="0.25">
      <c r="A70" s="556"/>
      <c r="B70" s="46" t="s">
        <v>140</v>
      </c>
      <c r="C70" s="46"/>
      <c r="D70" s="88"/>
      <c r="E70" s="52">
        <f>E69*VLOOKUP($A69,Hypothèses!$A$9:$H$28,6,FALSE)</f>
        <v>0</v>
      </c>
      <c r="F70" s="52">
        <f>F69*VLOOKUP($A69,Hypothèses!$A$9:$H$28,6,FALSE)</f>
        <v>0</v>
      </c>
      <c r="G70" s="52">
        <f>G69*VLOOKUP($A69,Hypothèses!$A$9:$H$28,6,FALSE)</f>
        <v>0</v>
      </c>
      <c r="H70" s="52">
        <f>H69*VLOOKUP($A69,Hypothèses!$A$9:$H$28,6,FALSE)</f>
        <v>0</v>
      </c>
      <c r="I70" s="52">
        <f>I69*VLOOKUP($A69,Hypothèses!$A$9:$H$28,6,FALSE)</f>
        <v>0</v>
      </c>
      <c r="J70" s="52">
        <f>J69*VLOOKUP($A69,Hypothèses!$A$9:$H$28,6,FALSE)</f>
        <v>0</v>
      </c>
      <c r="K70" s="52">
        <f>K69*VLOOKUP($A69,Hypothèses!$A$9:$H$28,6,FALSE)</f>
        <v>0</v>
      </c>
      <c r="L70" s="52">
        <f>L69*VLOOKUP($A69,Hypothèses!$A$9:$H$28,6,FALSE)</f>
        <v>0</v>
      </c>
      <c r="M70" s="52">
        <f>M69*VLOOKUP($A69,Hypothèses!$A$9:$H$28,6,FALSE)</f>
        <v>0</v>
      </c>
      <c r="N70" s="52">
        <f>N69*VLOOKUP($A69,Hypothèses!$A$9:$H$28,6,FALSE)</f>
        <v>0</v>
      </c>
      <c r="O70" s="52">
        <f>O69*VLOOKUP($A69,Hypothèses!$A$9:$H$28,6,FALSE)</f>
        <v>0</v>
      </c>
      <c r="P70" s="52">
        <f>P69*VLOOKUP($A69,Hypothèses!$A$9:$H$28,6,FALSE)</f>
        <v>0</v>
      </c>
      <c r="Q70" s="52">
        <f>Q69*VLOOKUP($A69,Hypothèses!$A$9:$H$28,6,FALSE)</f>
        <v>0</v>
      </c>
      <c r="R70" s="52">
        <f>R69*VLOOKUP($A69,Hypothèses!$A$9:$H$28,6,FALSE)</f>
        <v>0</v>
      </c>
      <c r="S70" s="52">
        <f>S69*VLOOKUP($A69,Hypothèses!$A$9:$H$28,6,FALSE)</f>
        <v>0</v>
      </c>
      <c r="T70" s="52">
        <f>T69*VLOOKUP($A69,Hypothèses!$A$9:$H$28,6,FALSE)</f>
        <v>0</v>
      </c>
      <c r="U70" s="52">
        <f>U69*VLOOKUP($A69,Hypothèses!$A$9:$H$28,6,FALSE)</f>
        <v>0</v>
      </c>
      <c r="V70" s="52">
        <f>V69*VLOOKUP($A69,Hypothèses!$A$9:$H$28,6,FALSE)</f>
        <v>0</v>
      </c>
      <c r="W70" s="52">
        <f>W69*VLOOKUP($A69,Hypothèses!$A$9:$H$28,6,FALSE)</f>
        <v>0</v>
      </c>
      <c r="X70" s="52">
        <f>X69*VLOOKUP($A69,Hypothèses!$A$9:$H$28,6,FALSE)</f>
        <v>0</v>
      </c>
    </row>
    <row r="71" spans="1:24" hidden="1" outlineLevel="3" x14ac:dyDescent="0.25">
      <c r="A71" s="557"/>
      <c r="B71" s="46" t="s">
        <v>138</v>
      </c>
      <c r="C71" s="46"/>
      <c r="D71" s="48"/>
      <c r="E71" s="52">
        <f>E70*VLOOKUP($A69,Hypothèses!$A$9:$H$28,8,FALSE)*(1+$E$19)^(E$21-1)/1000</f>
        <v>0</v>
      </c>
      <c r="F71" s="52">
        <f>F70*VLOOKUP($A69,Hypothèses!$A$9:$H$28,8,FALSE)*(1+$E$19)^(F$21-1)/1000</f>
        <v>0</v>
      </c>
      <c r="G71" s="52">
        <f>G70*VLOOKUP($A69,Hypothèses!$A$9:$H$28,8,FALSE)*(1+$E$19)^(G$21-1)/1000</f>
        <v>0</v>
      </c>
      <c r="H71" s="52">
        <f>H70*VLOOKUP($A69,Hypothèses!$A$9:$H$28,8,FALSE)*(1+$E$19)^(H$21-1)/1000</f>
        <v>0</v>
      </c>
      <c r="I71" s="52">
        <f>I70*VLOOKUP($A69,Hypothèses!$A$9:$H$28,8,FALSE)*(1+$E$19)^(I$21-1)/1000</f>
        <v>0</v>
      </c>
      <c r="J71" s="52">
        <f>J70*VLOOKUP($A69,Hypothèses!$A$9:$H$28,8,FALSE)*(1+$E$19)^(J$21-1)/1000</f>
        <v>0</v>
      </c>
      <c r="K71" s="52">
        <f>K70*VLOOKUP($A69,Hypothèses!$A$9:$H$28,8,FALSE)*(1+$E$19)^(K$21-1)/1000</f>
        <v>0</v>
      </c>
      <c r="L71" s="52">
        <f>L70*VLOOKUP($A69,Hypothèses!$A$9:$H$28,8,FALSE)*(1+$E$19)^(L$21-1)/1000</f>
        <v>0</v>
      </c>
      <c r="M71" s="52">
        <f>M70*VLOOKUP($A69,Hypothèses!$A$9:$H$28,8,FALSE)*(1+$E$19)^(M$21-1)/1000</f>
        <v>0</v>
      </c>
      <c r="N71" s="52">
        <f>N70*VLOOKUP($A69,Hypothèses!$A$9:$H$28,8,FALSE)*(1+$E$19)^(N$21-1)/1000</f>
        <v>0</v>
      </c>
      <c r="O71" s="52">
        <f>O70*VLOOKUP($A69,Hypothèses!$A$9:$H$28,8,FALSE)*(1+$E$19)^(O$21-1)/1000</f>
        <v>0</v>
      </c>
      <c r="P71" s="52">
        <f>P70*VLOOKUP($A69,Hypothèses!$A$9:$H$28,8,FALSE)*(1+$E$19)^(P$21-1)/1000</f>
        <v>0</v>
      </c>
      <c r="Q71" s="52">
        <f>Q70*VLOOKUP($A69,Hypothèses!$A$9:$H$28,8,FALSE)*(1+$E$19)^(Q$21-1)/1000</f>
        <v>0</v>
      </c>
      <c r="R71" s="52">
        <f>R70*VLOOKUP($A69,Hypothèses!$A$9:$H$28,8,FALSE)*(1+$E$19)^(R$21-1)/1000</f>
        <v>0</v>
      </c>
      <c r="S71" s="52">
        <f>S70*VLOOKUP($A69,Hypothèses!$A$9:$H$28,8,FALSE)*(1+$E$19)^(S$21-1)/1000</f>
        <v>0</v>
      </c>
      <c r="T71" s="52">
        <f>T70*VLOOKUP($A69,Hypothèses!$A$9:$H$28,8,FALSE)*(1+$E$19)^(T$21-1)/1000</f>
        <v>0</v>
      </c>
      <c r="U71" s="52">
        <f>U70*VLOOKUP($A69,Hypothèses!$A$9:$H$28,8,FALSE)*(1+$E$19)^(U$21-1)/1000</f>
        <v>0</v>
      </c>
      <c r="V71" s="52">
        <f>V70*VLOOKUP($A69,Hypothèses!$A$9:$H$28,8,FALSE)*(1+$E$19)^(V$21-1)/1000</f>
        <v>0</v>
      </c>
      <c r="W71" s="52">
        <f>W70*VLOOKUP($A69,Hypothèses!$A$9:$H$28,8,FALSE)*(1+$E$19)^(W$21-1)/1000</f>
        <v>0</v>
      </c>
      <c r="X71" s="52">
        <f>X70*VLOOKUP($A69,Hypothèses!$A$9:$H$28,8,FALSE)*(1+$E$19)^(X$21-1)/1000</f>
        <v>0</v>
      </c>
    </row>
    <row r="72" spans="1:24" hidden="1" outlineLevel="3" x14ac:dyDescent="0.25">
      <c r="A72" s="555" t="str">
        <f>Hypothèses!A$23</f>
        <v>Véhicule n°15</v>
      </c>
      <c r="B72" s="130" t="s">
        <v>65</v>
      </c>
      <c r="C72" s="124"/>
      <c r="D72" s="50"/>
      <c r="E72" s="213"/>
      <c r="F72" s="213"/>
      <c r="G72" s="213"/>
      <c r="H72" s="213"/>
      <c r="I72" s="213"/>
      <c r="J72" s="213"/>
      <c r="K72" s="213"/>
      <c r="L72" s="213"/>
      <c r="M72" s="213"/>
      <c r="N72" s="213"/>
      <c r="O72" s="213"/>
      <c r="P72" s="213"/>
      <c r="Q72" s="213"/>
      <c r="R72" s="213"/>
      <c r="S72" s="213"/>
      <c r="T72" s="213"/>
      <c r="U72" s="213"/>
      <c r="V72" s="213"/>
      <c r="W72" s="213"/>
      <c r="X72" s="213"/>
    </row>
    <row r="73" spans="1:24" hidden="1" outlineLevel="3" x14ac:dyDescent="0.25">
      <c r="A73" s="556"/>
      <c r="B73" s="46" t="s">
        <v>140</v>
      </c>
      <c r="C73" s="46"/>
      <c r="D73" s="88"/>
      <c r="E73" s="52">
        <f>E72*VLOOKUP($A72,Hypothèses!$A$9:$H$28,6,FALSE)</f>
        <v>0</v>
      </c>
      <c r="F73" s="52">
        <f>F72*VLOOKUP($A72,Hypothèses!$A$9:$H$28,6,FALSE)</f>
        <v>0</v>
      </c>
      <c r="G73" s="52">
        <f>G72*VLOOKUP($A72,Hypothèses!$A$9:$H$28,6,FALSE)</f>
        <v>0</v>
      </c>
      <c r="H73" s="52">
        <f>H72*VLOOKUP($A72,Hypothèses!$A$9:$H$28,6,FALSE)</f>
        <v>0</v>
      </c>
      <c r="I73" s="52">
        <f>I72*VLOOKUP($A72,Hypothèses!$A$9:$H$28,6,FALSE)</f>
        <v>0</v>
      </c>
      <c r="J73" s="52">
        <f>J72*VLOOKUP($A72,Hypothèses!$A$9:$H$28,6,FALSE)</f>
        <v>0</v>
      </c>
      <c r="K73" s="52">
        <f>K72*VLOOKUP($A72,Hypothèses!$A$9:$H$28,6,FALSE)</f>
        <v>0</v>
      </c>
      <c r="L73" s="52">
        <f>L72*VLOOKUP($A72,Hypothèses!$A$9:$H$28,6,FALSE)</f>
        <v>0</v>
      </c>
      <c r="M73" s="52">
        <f>M72*VLOOKUP($A72,Hypothèses!$A$9:$H$28,6,FALSE)</f>
        <v>0</v>
      </c>
      <c r="N73" s="52">
        <f>N72*VLOOKUP($A72,Hypothèses!$A$9:$H$28,6,FALSE)</f>
        <v>0</v>
      </c>
      <c r="O73" s="52">
        <f>O72*VLOOKUP($A72,Hypothèses!$A$9:$H$28,6,FALSE)</f>
        <v>0</v>
      </c>
      <c r="P73" s="52">
        <f>P72*VLOOKUP($A72,Hypothèses!$A$9:$H$28,6,FALSE)</f>
        <v>0</v>
      </c>
      <c r="Q73" s="52">
        <f>Q72*VLOOKUP($A72,Hypothèses!$A$9:$H$28,6,FALSE)</f>
        <v>0</v>
      </c>
      <c r="R73" s="52">
        <f>R72*VLOOKUP($A72,Hypothèses!$A$9:$H$28,6,FALSE)</f>
        <v>0</v>
      </c>
      <c r="S73" s="52">
        <f>S72*VLOOKUP($A72,Hypothèses!$A$9:$H$28,6,FALSE)</f>
        <v>0</v>
      </c>
      <c r="T73" s="52">
        <f>T72*VLOOKUP($A72,Hypothèses!$A$9:$H$28,6,FALSE)</f>
        <v>0</v>
      </c>
      <c r="U73" s="52">
        <f>U72*VLOOKUP($A72,Hypothèses!$A$9:$H$28,6,FALSE)</f>
        <v>0</v>
      </c>
      <c r="V73" s="52">
        <f>V72*VLOOKUP($A72,Hypothèses!$A$9:$H$28,6,FALSE)</f>
        <v>0</v>
      </c>
      <c r="W73" s="52">
        <f>W72*VLOOKUP($A72,Hypothèses!$A$9:$H$28,6,FALSE)</f>
        <v>0</v>
      </c>
      <c r="X73" s="52">
        <f>X72*VLOOKUP($A72,Hypothèses!$A$9:$H$28,6,FALSE)</f>
        <v>0</v>
      </c>
    </row>
    <row r="74" spans="1:24" hidden="1" outlineLevel="3" x14ac:dyDescent="0.25">
      <c r="A74" s="557"/>
      <c r="B74" s="46" t="s">
        <v>138</v>
      </c>
      <c r="C74" s="46"/>
      <c r="D74" s="48"/>
      <c r="E74" s="52">
        <f>E73*VLOOKUP($A72,Hypothèses!$A$9:$H$28,8,FALSE)*(1+$E$19)^(E$21-1)/1000</f>
        <v>0</v>
      </c>
      <c r="F74" s="52">
        <f>F73*VLOOKUP($A72,Hypothèses!$A$9:$H$28,8,FALSE)*(1+$E$19)^(F$21-1)/1000</f>
        <v>0</v>
      </c>
      <c r="G74" s="52">
        <f>G73*VLOOKUP($A72,Hypothèses!$A$9:$H$28,8,FALSE)*(1+$E$19)^(G$21-1)/1000</f>
        <v>0</v>
      </c>
      <c r="H74" s="52">
        <f>H73*VLOOKUP($A72,Hypothèses!$A$9:$H$28,8,FALSE)*(1+$E$19)^(H$21-1)/1000</f>
        <v>0</v>
      </c>
      <c r="I74" s="52">
        <f>I73*VLOOKUP($A72,Hypothèses!$A$9:$H$28,8,FALSE)*(1+$E$19)^(I$21-1)/1000</f>
        <v>0</v>
      </c>
      <c r="J74" s="52">
        <f>J73*VLOOKUP($A72,Hypothèses!$A$9:$H$28,8,FALSE)*(1+$E$19)^(J$21-1)/1000</f>
        <v>0</v>
      </c>
      <c r="K74" s="52">
        <f>K73*VLOOKUP($A72,Hypothèses!$A$9:$H$28,8,FALSE)*(1+$E$19)^(K$21-1)/1000</f>
        <v>0</v>
      </c>
      <c r="L74" s="52">
        <f>L73*VLOOKUP($A72,Hypothèses!$A$9:$H$28,8,FALSE)*(1+$E$19)^(L$21-1)/1000</f>
        <v>0</v>
      </c>
      <c r="M74" s="52">
        <f>M73*VLOOKUP($A72,Hypothèses!$A$9:$H$28,8,FALSE)*(1+$E$19)^(M$21-1)/1000</f>
        <v>0</v>
      </c>
      <c r="N74" s="52">
        <f>N73*VLOOKUP($A72,Hypothèses!$A$9:$H$28,8,FALSE)*(1+$E$19)^(N$21-1)/1000</f>
        <v>0</v>
      </c>
      <c r="O74" s="52">
        <f>O73*VLOOKUP($A72,Hypothèses!$A$9:$H$28,8,FALSE)*(1+$E$19)^(O$21-1)/1000</f>
        <v>0</v>
      </c>
      <c r="P74" s="52">
        <f>P73*VLOOKUP($A72,Hypothèses!$A$9:$H$28,8,FALSE)*(1+$E$19)^(P$21-1)/1000</f>
        <v>0</v>
      </c>
      <c r="Q74" s="52">
        <f>Q73*VLOOKUP($A72,Hypothèses!$A$9:$H$28,8,FALSE)*(1+$E$19)^(Q$21-1)/1000</f>
        <v>0</v>
      </c>
      <c r="R74" s="52">
        <f>R73*VLOOKUP($A72,Hypothèses!$A$9:$H$28,8,FALSE)*(1+$E$19)^(R$21-1)/1000</f>
        <v>0</v>
      </c>
      <c r="S74" s="52">
        <f>S73*VLOOKUP($A72,Hypothèses!$A$9:$H$28,8,FALSE)*(1+$E$19)^(S$21-1)/1000</f>
        <v>0</v>
      </c>
      <c r="T74" s="52">
        <f>T73*VLOOKUP($A72,Hypothèses!$A$9:$H$28,8,FALSE)*(1+$E$19)^(T$21-1)/1000</f>
        <v>0</v>
      </c>
      <c r="U74" s="52">
        <f>U73*VLOOKUP($A72,Hypothèses!$A$9:$H$28,8,FALSE)*(1+$E$19)^(U$21-1)/1000</f>
        <v>0</v>
      </c>
      <c r="V74" s="52">
        <f>V73*VLOOKUP($A72,Hypothèses!$A$9:$H$28,8,FALSE)*(1+$E$19)^(V$21-1)/1000</f>
        <v>0</v>
      </c>
      <c r="W74" s="52">
        <f>W73*VLOOKUP($A72,Hypothèses!$A$9:$H$28,8,FALSE)*(1+$E$19)^(W$21-1)/1000</f>
        <v>0</v>
      </c>
      <c r="X74" s="52">
        <f>X73*VLOOKUP($A72,Hypothèses!$A$9:$H$28,8,FALSE)*(1+$E$19)^(X$21-1)/1000</f>
        <v>0</v>
      </c>
    </row>
    <row r="75" spans="1:24" hidden="1" outlineLevel="3" x14ac:dyDescent="0.25">
      <c r="A75" s="555" t="str">
        <f>Hypothèses!A$24</f>
        <v>Véhicule n°16</v>
      </c>
      <c r="B75" s="130" t="s">
        <v>65</v>
      </c>
      <c r="C75" s="124"/>
      <c r="D75" s="50"/>
      <c r="E75" s="213"/>
      <c r="F75" s="213"/>
      <c r="G75" s="213"/>
      <c r="H75" s="213"/>
      <c r="I75" s="213"/>
      <c r="J75" s="213"/>
      <c r="K75" s="213"/>
      <c r="L75" s="213"/>
      <c r="M75" s="213"/>
      <c r="N75" s="213"/>
      <c r="O75" s="213"/>
      <c r="P75" s="213"/>
      <c r="Q75" s="213"/>
      <c r="R75" s="213"/>
      <c r="S75" s="213"/>
      <c r="T75" s="213"/>
      <c r="U75" s="213"/>
      <c r="V75" s="213"/>
      <c r="W75" s="213"/>
      <c r="X75" s="213"/>
    </row>
    <row r="76" spans="1:24" hidden="1" outlineLevel="3" x14ac:dyDescent="0.25">
      <c r="A76" s="556"/>
      <c r="B76" s="46" t="s">
        <v>140</v>
      </c>
      <c r="C76" s="46"/>
      <c r="D76" s="88"/>
      <c r="E76" s="52">
        <f>E75*VLOOKUP($A75,Hypothèses!$A$9:$H$28,6,FALSE)</f>
        <v>0</v>
      </c>
      <c r="F76" s="52">
        <f>F75*VLOOKUP($A75,Hypothèses!$A$9:$H$28,6,FALSE)</f>
        <v>0</v>
      </c>
      <c r="G76" s="52">
        <f>G75*VLOOKUP($A75,Hypothèses!$A$9:$H$28,6,FALSE)</f>
        <v>0</v>
      </c>
      <c r="H76" s="52">
        <f>H75*VLOOKUP($A75,Hypothèses!$A$9:$H$28,6,FALSE)</f>
        <v>0</v>
      </c>
      <c r="I76" s="52">
        <f>I75*VLOOKUP($A75,Hypothèses!$A$9:$H$28,6,FALSE)</f>
        <v>0</v>
      </c>
      <c r="J76" s="52">
        <f>J75*VLOOKUP($A75,Hypothèses!$A$9:$H$28,6,FALSE)</f>
        <v>0</v>
      </c>
      <c r="K76" s="52">
        <f>K75*VLOOKUP($A75,Hypothèses!$A$9:$H$28,6,FALSE)</f>
        <v>0</v>
      </c>
      <c r="L76" s="52">
        <f>L75*VLOOKUP($A75,Hypothèses!$A$9:$H$28,6,FALSE)</f>
        <v>0</v>
      </c>
      <c r="M76" s="52">
        <f>M75*VLOOKUP($A75,Hypothèses!$A$9:$H$28,6,FALSE)</f>
        <v>0</v>
      </c>
      <c r="N76" s="52">
        <f>N75*VLOOKUP($A75,Hypothèses!$A$9:$H$28,6,FALSE)</f>
        <v>0</v>
      </c>
      <c r="O76" s="52">
        <f>O75*VLOOKUP($A75,Hypothèses!$A$9:$H$28,6,FALSE)</f>
        <v>0</v>
      </c>
      <c r="P76" s="52">
        <f>P75*VLOOKUP($A75,Hypothèses!$A$9:$H$28,6,FALSE)</f>
        <v>0</v>
      </c>
      <c r="Q76" s="52">
        <f>Q75*VLOOKUP($A75,Hypothèses!$A$9:$H$28,6,FALSE)</f>
        <v>0</v>
      </c>
      <c r="R76" s="52">
        <f>R75*VLOOKUP($A75,Hypothèses!$A$9:$H$28,6,FALSE)</f>
        <v>0</v>
      </c>
      <c r="S76" s="52">
        <f>S75*VLOOKUP($A75,Hypothèses!$A$9:$H$28,6,FALSE)</f>
        <v>0</v>
      </c>
      <c r="T76" s="52">
        <f>T75*VLOOKUP($A75,Hypothèses!$A$9:$H$28,6,FALSE)</f>
        <v>0</v>
      </c>
      <c r="U76" s="52">
        <f>U75*VLOOKUP($A75,Hypothèses!$A$9:$H$28,6,FALSE)</f>
        <v>0</v>
      </c>
      <c r="V76" s="52">
        <f>V75*VLOOKUP($A75,Hypothèses!$A$9:$H$28,6,FALSE)</f>
        <v>0</v>
      </c>
      <c r="W76" s="52">
        <f>W75*VLOOKUP($A75,Hypothèses!$A$9:$H$28,6,FALSE)</f>
        <v>0</v>
      </c>
      <c r="X76" s="52">
        <f>X75*VLOOKUP($A75,Hypothèses!$A$9:$H$28,6,FALSE)</f>
        <v>0</v>
      </c>
    </row>
    <row r="77" spans="1:24" hidden="1" outlineLevel="3" x14ac:dyDescent="0.25">
      <c r="A77" s="557"/>
      <c r="B77" s="46" t="s">
        <v>138</v>
      </c>
      <c r="C77" s="46"/>
      <c r="D77" s="48"/>
      <c r="E77" s="52">
        <f>E76*VLOOKUP($A75,Hypothèses!$A$9:$H$28,8,FALSE)*(1+$E$19)^(E$21-1)/1000</f>
        <v>0</v>
      </c>
      <c r="F77" s="52">
        <f>F76*VLOOKUP($A75,Hypothèses!$A$9:$H$28,8,FALSE)*(1+$E$19)^(F$21-1)/1000</f>
        <v>0</v>
      </c>
      <c r="G77" s="52">
        <f>G76*VLOOKUP($A75,Hypothèses!$A$9:$H$28,8,FALSE)*(1+$E$19)^(G$21-1)/1000</f>
        <v>0</v>
      </c>
      <c r="H77" s="52">
        <f>H76*VLOOKUP($A75,Hypothèses!$A$9:$H$28,8,FALSE)*(1+$E$19)^(H$21-1)/1000</f>
        <v>0</v>
      </c>
      <c r="I77" s="52">
        <f>I76*VLOOKUP($A75,Hypothèses!$A$9:$H$28,8,FALSE)*(1+$E$19)^(I$21-1)/1000</f>
        <v>0</v>
      </c>
      <c r="J77" s="52">
        <f>J76*VLOOKUP($A75,Hypothèses!$A$9:$H$28,8,FALSE)*(1+$E$19)^(J$21-1)/1000</f>
        <v>0</v>
      </c>
      <c r="K77" s="52">
        <f>K76*VLOOKUP($A75,Hypothèses!$A$9:$H$28,8,FALSE)*(1+$E$19)^(K$21-1)/1000</f>
        <v>0</v>
      </c>
      <c r="L77" s="52">
        <f>L76*VLOOKUP($A75,Hypothèses!$A$9:$H$28,8,FALSE)*(1+$E$19)^(L$21-1)/1000</f>
        <v>0</v>
      </c>
      <c r="M77" s="52">
        <f>M76*VLOOKUP($A75,Hypothèses!$A$9:$H$28,8,FALSE)*(1+$E$19)^(M$21-1)/1000</f>
        <v>0</v>
      </c>
      <c r="N77" s="52">
        <f>N76*VLOOKUP($A75,Hypothèses!$A$9:$H$28,8,FALSE)*(1+$E$19)^(N$21-1)/1000</f>
        <v>0</v>
      </c>
      <c r="O77" s="52">
        <f>O76*VLOOKUP($A75,Hypothèses!$A$9:$H$28,8,FALSE)*(1+$E$19)^(O$21-1)/1000</f>
        <v>0</v>
      </c>
      <c r="P77" s="52">
        <f>P76*VLOOKUP($A75,Hypothèses!$A$9:$H$28,8,FALSE)*(1+$E$19)^(P$21-1)/1000</f>
        <v>0</v>
      </c>
      <c r="Q77" s="52">
        <f>Q76*VLOOKUP($A75,Hypothèses!$A$9:$H$28,8,FALSE)*(1+$E$19)^(Q$21-1)/1000</f>
        <v>0</v>
      </c>
      <c r="R77" s="52">
        <f>R76*VLOOKUP($A75,Hypothèses!$A$9:$H$28,8,FALSE)*(1+$E$19)^(R$21-1)/1000</f>
        <v>0</v>
      </c>
      <c r="S77" s="52">
        <f>S76*VLOOKUP($A75,Hypothèses!$A$9:$H$28,8,FALSE)*(1+$E$19)^(S$21-1)/1000</f>
        <v>0</v>
      </c>
      <c r="T77" s="52">
        <f>T76*VLOOKUP($A75,Hypothèses!$A$9:$H$28,8,FALSE)*(1+$E$19)^(T$21-1)/1000</f>
        <v>0</v>
      </c>
      <c r="U77" s="52">
        <f>U76*VLOOKUP($A75,Hypothèses!$A$9:$H$28,8,FALSE)*(1+$E$19)^(U$21-1)/1000</f>
        <v>0</v>
      </c>
      <c r="V77" s="52">
        <f>V76*VLOOKUP($A75,Hypothèses!$A$9:$H$28,8,FALSE)*(1+$E$19)^(V$21-1)/1000</f>
        <v>0</v>
      </c>
      <c r="W77" s="52">
        <f>W76*VLOOKUP($A75,Hypothèses!$A$9:$H$28,8,FALSE)*(1+$E$19)^(W$21-1)/1000</f>
        <v>0</v>
      </c>
      <c r="X77" s="52">
        <f>X76*VLOOKUP($A75,Hypothèses!$A$9:$H$28,8,FALSE)*(1+$E$19)^(X$21-1)/1000</f>
        <v>0</v>
      </c>
    </row>
    <row r="78" spans="1:24" hidden="1" outlineLevel="3" x14ac:dyDescent="0.25">
      <c r="A78" s="555" t="str">
        <f>Hypothèses!A$25</f>
        <v>Véhicule n°17</v>
      </c>
      <c r="B78" s="130" t="s">
        <v>65</v>
      </c>
      <c r="C78" s="124"/>
      <c r="D78" s="50"/>
      <c r="E78" s="213"/>
      <c r="F78" s="213"/>
      <c r="G78" s="213"/>
      <c r="H78" s="213"/>
      <c r="I78" s="213"/>
      <c r="J78" s="213"/>
      <c r="K78" s="213"/>
      <c r="L78" s="213"/>
      <c r="M78" s="213"/>
      <c r="N78" s="213"/>
      <c r="O78" s="213"/>
      <c r="P78" s="213"/>
      <c r="Q78" s="213"/>
      <c r="R78" s="213"/>
      <c r="S78" s="213"/>
      <c r="T78" s="213"/>
      <c r="U78" s="213"/>
      <c r="V78" s="213"/>
      <c r="W78" s="213"/>
      <c r="X78" s="213"/>
    </row>
    <row r="79" spans="1:24" hidden="1" outlineLevel="3" x14ac:dyDescent="0.25">
      <c r="A79" s="556"/>
      <c r="B79" s="46" t="s">
        <v>140</v>
      </c>
      <c r="C79" s="46"/>
      <c r="D79" s="88"/>
      <c r="E79" s="52">
        <f>E78*VLOOKUP($A78,Hypothèses!$A$9:$H$28,6,FALSE)</f>
        <v>0</v>
      </c>
      <c r="F79" s="52">
        <f>F78*VLOOKUP($A78,Hypothèses!$A$9:$H$28,6,FALSE)</f>
        <v>0</v>
      </c>
      <c r="G79" s="52">
        <f>G78*VLOOKUP($A78,Hypothèses!$A$9:$H$28,6,FALSE)</f>
        <v>0</v>
      </c>
      <c r="H79" s="52">
        <f>H78*VLOOKUP($A78,Hypothèses!$A$9:$H$28,6,FALSE)</f>
        <v>0</v>
      </c>
      <c r="I79" s="52">
        <f>I78*VLOOKUP($A78,Hypothèses!$A$9:$H$28,6,FALSE)</f>
        <v>0</v>
      </c>
      <c r="J79" s="52">
        <f>J78*VLOOKUP($A78,Hypothèses!$A$9:$H$28,6,FALSE)</f>
        <v>0</v>
      </c>
      <c r="K79" s="52">
        <f>K78*VLOOKUP($A78,Hypothèses!$A$9:$H$28,6,FALSE)</f>
        <v>0</v>
      </c>
      <c r="L79" s="52">
        <f>L78*VLOOKUP($A78,Hypothèses!$A$9:$H$28,6,FALSE)</f>
        <v>0</v>
      </c>
      <c r="M79" s="52">
        <f>M78*VLOOKUP($A78,Hypothèses!$A$9:$H$28,6,FALSE)</f>
        <v>0</v>
      </c>
      <c r="N79" s="52">
        <f>N78*VLOOKUP($A78,Hypothèses!$A$9:$H$28,6,FALSE)</f>
        <v>0</v>
      </c>
      <c r="O79" s="52">
        <f>O78*VLOOKUP($A78,Hypothèses!$A$9:$H$28,6,FALSE)</f>
        <v>0</v>
      </c>
      <c r="P79" s="52">
        <f>P78*VLOOKUP($A78,Hypothèses!$A$9:$H$28,6,FALSE)</f>
        <v>0</v>
      </c>
      <c r="Q79" s="52">
        <f>Q78*VLOOKUP($A78,Hypothèses!$A$9:$H$28,6,FALSE)</f>
        <v>0</v>
      </c>
      <c r="R79" s="52">
        <f>R78*VLOOKUP($A78,Hypothèses!$A$9:$H$28,6,FALSE)</f>
        <v>0</v>
      </c>
      <c r="S79" s="52">
        <f>S78*VLOOKUP($A78,Hypothèses!$A$9:$H$28,6,FALSE)</f>
        <v>0</v>
      </c>
      <c r="T79" s="52">
        <f>T78*VLOOKUP($A78,Hypothèses!$A$9:$H$28,6,FALSE)</f>
        <v>0</v>
      </c>
      <c r="U79" s="52">
        <f>U78*VLOOKUP($A78,Hypothèses!$A$9:$H$28,6,FALSE)</f>
        <v>0</v>
      </c>
      <c r="V79" s="52">
        <f>V78*VLOOKUP($A78,Hypothèses!$A$9:$H$28,6,FALSE)</f>
        <v>0</v>
      </c>
      <c r="W79" s="52">
        <f>W78*VLOOKUP($A78,Hypothèses!$A$9:$H$28,6,FALSE)</f>
        <v>0</v>
      </c>
      <c r="X79" s="52">
        <f>X78*VLOOKUP($A78,Hypothèses!$A$9:$H$28,6,FALSE)</f>
        <v>0</v>
      </c>
    </row>
    <row r="80" spans="1:24" hidden="1" outlineLevel="3" x14ac:dyDescent="0.25">
      <c r="A80" s="557"/>
      <c r="B80" s="46" t="s">
        <v>138</v>
      </c>
      <c r="C80" s="46"/>
      <c r="D80" s="48"/>
      <c r="E80" s="52">
        <f>E79*VLOOKUP($A78,Hypothèses!$A$9:$H$28,8,FALSE)*(1+$E$19)^(E$21-1)/1000</f>
        <v>0</v>
      </c>
      <c r="F80" s="52">
        <f>F79*VLOOKUP($A78,Hypothèses!$A$9:$H$28,8,FALSE)*(1+$E$19)^(F$21-1)/1000</f>
        <v>0</v>
      </c>
      <c r="G80" s="52">
        <f>G79*VLOOKUP($A78,Hypothèses!$A$9:$H$28,8,FALSE)*(1+$E$19)^(G$21-1)/1000</f>
        <v>0</v>
      </c>
      <c r="H80" s="52">
        <f>H79*VLOOKUP($A78,Hypothèses!$A$9:$H$28,8,FALSE)*(1+$E$19)^(H$21-1)/1000</f>
        <v>0</v>
      </c>
      <c r="I80" s="52">
        <f>I79*VLOOKUP($A78,Hypothèses!$A$9:$H$28,8,FALSE)*(1+$E$19)^(I$21-1)/1000</f>
        <v>0</v>
      </c>
      <c r="J80" s="52">
        <f>J79*VLOOKUP($A78,Hypothèses!$A$9:$H$28,8,FALSE)*(1+$E$19)^(J$21-1)/1000</f>
        <v>0</v>
      </c>
      <c r="K80" s="52">
        <f>K79*VLOOKUP($A78,Hypothèses!$A$9:$H$28,8,FALSE)*(1+$E$19)^(K$21-1)/1000</f>
        <v>0</v>
      </c>
      <c r="L80" s="52">
        <f>L79*VLOOKUP($A78,Hypothèses!$A$9:$H$28,8,FALSE)*(1+$E$19)^(L$21-1)/1000</f>
        <v>0</v>
      </c>
      <c r="M80" s="52">
        <f>M79*VLOOKUP($A78,Hypothèses!$A$9:$H$28,8,FALSE)*(1+$E$19)^(M$21-1)/1000</f>
        <v>0</v>
      </c>
      <c r="N80" s="52">
        <f>N79*VLOOKUP($A78,Hypothèses!$A$9:$H$28,8,FALSE)*(1+$E$19)^(N$21-1)/1000</f>
        <v>0</v>
      </c>
      <c r="O80" s="52">
        <f>O79*VLOOKUP($A78,Hypothèses!$A$9:$H$28,8,FALSE)*(1+$E$19)^(O$21-1)/1000</f>
        <v>0</v>
      </c>
      <c r="P80" s="52">
        <f>P79*VLOOKUP($A78,Hypothèses!$A$9:$H$28,8,FALSE)*(1+$E$19)^(P$21-1)/1000</f>
        <v>0</v>
      </c>
      <c r="Q80" s="52">
        <f>Q79*VLOOKUP($A78,Hypothèses!$A$9:$H$28,8,FALSE)*(1+$E$19)^(Q$21-1)/1000</f>
        <v>0</v>
      </c>
      <c r="R80" s="52">
        <f>R79*VLOOKUP($A78,Hypothèses!$A$9:$H$28,8,FALSE)*(1+$E$19)^(R$21-1)/1000</f>
        <v>0</v>
      </c>
      <c r="S80" s="52">
        <f>S79*VLOOKUP($A78,Hypothèses!$A$9:$H$28,8,FALSE)*(1+$E$19)^(S$21-1)/1000</f>
        <v>0</v>
      </c>
      <c r="T80" s="52">
        <f>T79*VLOOKUP($A78,Hypothèses!$A$9:$H$28,8,FALSE)*(1+$E$19)^(T$21-1)/1000</f>
        <v>0</v>
      </c>
      <c r="U80" s="52">
        <f>U79*VLOOKUP($A78,Hypothèses!$A$9:$H$28,8,FALSE)*(1+$E$19)^(U$21-1)/1000</f>
        <v>0</v>
      </c>
      <c r="V80" s="52">
        <f>V79*VLOOKUP($A78,Hypothèses!$A$9:$H$28,8,FALSE)*(1+$E$19)^(V$21-1)/1000</f>
        <v>0</v>
      </c>
      <c r="W80" s="52">
        <f>W79*VLOOKUP($A78,Hypothèses!$A$9:$H$28,8,FALSE)*(1+$E$19)^(W$21-1)/1000</f>
        <v>0</v>
      </c>
      <c r="X80" s="52">
        <f>X79*VLOOKUP($A78,Hypothèses!$A$9:$H$28,8,FALSE)*(1+$E$19)^(X$21-1)/1000</f>
        <v>0</v>
      </c>
    </row>
    <row r="81" spans="1:25" hidden="1" outlineLevel="3" x14ac:dyDescent="0.25">
      <c r="A81" s="555" t="str">
        <f>Hypothèses!A$26</f>
        <v>Véhicule n°18</v>
      </c>
      <c r="B81" s="130" t="s">
        <v>65</v>
      </c>
      <c r="C81" s="124"/>
      <c r="D81" s="50"/>
      <c r="E81" s="213"/>
      <c r="F81" s="213"/>
      <c r="G81" s="213"/>
      <c r="H81" s="213"/>
      <c r="I81" s="213"/>
      <c r="J81" s="213"/>
      <c r="K81" s="213"/>
      <c r="L81" s="213"/>
      <c r="M81" s="213"/>
      <c r="N81" s="213"/>
      <c r="O81" s="213"/>
      <c r="P81" s="213"/>
      <c r="Q81" s="213"/>
      <c r="R81" s="213"/>
      <c r="S81" s="213"/>
      <c r="T81" s="213"/>
      <c r="U81" s="213"/>
      <c r="V81" s="213"/>
      <c r="W81" s="213"/>
      <c r="X81" s="213"/>
    </row>
    <row r="82" spans="1:25" hidden="1" outlineLevel="3" x14ac:dyDescent="0.25">
      <c r="A82" s="556"/>
      <c r="B82" s="46" t="s">
        <v>140</v>
      </c>
      <c r="C82" s="46"/>
      <c r="D82" s="88"/>
      <c r="E82" s="52">
        <f>E81*VLOOKUP($A81,Hypothèses!$A$9:$H$28,6,FALSE)</f>
        <v>0</v>
      </c>
      <c r="F82" s="52">
        <f>F81*VLOOKUP($A81,Hypothèses!$A$9:$H$28,6,FALSE)</f>
        <v>0</v>
      </c>
      <c r="G82" s="52">
        <f>G81*VLOOKUP($A81,Hypothèses!$A$9:$H$28,6,FALSE)</f>
        <v>0</v>
      </c>
      <c r="H82" s="52">
        <f>H81*VLOOKUP($A81,Hypothèses!$A$9:$H$28,6,FALSE)</f>
        <v>0</v>
      </c>
      <c r="I82" s="52">
        <f>I81*VLOOKUP($A81,Hypothèses!$A$9:$H$28,6,FALSE)</f>
        <v>0</v>
      </c>
      <c r="J82" s="52">
        <f>J81*VLOOKUP($A81,Hypothèses!$A$9:$H$28,6,FALSE)</f>
        <v>0</v>
      </c>
      <c r="K82" s="52">
        <f>K81*VLOOKUP($A81,Hypothèses!$A$9:$H$28,6,FALSE)</f>
        <v>0</v>
      </c>
      <c r="L82" s="52">
        <f>L81*VLOOKUP($A81,Hypothèses!$A$9:$H$28,6,FALSE)</f>
        <v>0</v>
      </c>
      <c r="M82" s="52">
        <f>M81*VLOOKUP($A81,Hypothèses!$A$9:$H$28,6,FALSE)</f>
        <v>0</v>
      </c>
      <c r="N82" s="52">
        <f>N81*VLOOKUP($A81,Hypothèses!$A$9:$H$28,6,FALSE)</f>
        <v>0</v>
      </c>
      <c r="O82" s="52">
        <f>O81*VLOOKUP($A81,Hypothèses!$A$9:$H$28,6,FALSE)</f>
        <v>0</v>
      </c>
      <c r="P82" s="52">
        <f>P81*VLOOKUP($A81,Hypothèses!$A$9:$H$28,6,FALSE)</f>
        <v>0</v>
      </c>
      <c r="Q82" s="52">
        <f>Q81*VLOOKUP($A81,Hypothèses!$A$9:$H$28,6,FALSE)</f>
        <v>0</v>
      </c>
      <c r="R82" s="52">
        <f>R81*VLOOKUP($A81,Hypothèses!$A$9:$H$28,6,FALSE)</f>
        <v>0</v>
      </c>
      <c r="S82" s="52">
        <f>S81*VLOOKUP($A81,Hypothèses!$A$9:$H$28,6,FALSE)</f>
        <v>0</v>
      </c>
      <c r="T82" s="52">
        <f>T81*VLOOKUP($A81,Hypothèses!$A$9:$H$28,6,FALSE)</f>
        <v>0</v>
      </c>
      <c r="U82" s="52">
        <f>U81*VLOOKUP($A81,Hypothèses!$A$9:$H$28,6,FALSE)</f>
        <v>0</v>
      </c>
      <c r="V82" s="52">
        <f>V81*VLOOKUP($A81,Hypothèses!$A$9:$H$28,6,FALSE)</f>
        <v>0</v>
      </c>
      <c r="W82" s="52">
        <f>W81*VLOOKUP($A81,Hypothèses!$A$9:$H$28,6,FALSE)</f>
        <v>0</v>
      </c>
      <c r="X82" s="52">
        <f>X81*VLOOKUP($A81,Hypothèses!$A$9:$H$28,6,FALSE)</f>
        <v>0</v>
      </c>
    </row>
    <row r="83" spans="1:25" hidden="1" outlineLevel="3" x14ac:dyDescent="0.25">
      <c r="A83" s="557"/>
      <c r="B83" s="46" t="s">
        <v>138</v>
      </c>
      <c r="C83" s="46"/>
      <c r="D83" s="48"/>
      <c r="E83" s="52">
        <f>E82*VLOOKUP($A81,Hypothèses!$A$9:$H$28,8,FALSE)*(1+$E$19)^(E$21-1)/1000</f>
        <v>0</v>
      </c>
      <c r="F83" s="52">
        <f>F82*VLOOKUP($A81,Hypothèses!$A$9:$H$28,8,FALSE)*(1+$E$19)^(F$21-1)/1000</f>
        <v>0</v>
      </c>
      <c r="G83" s="52">
        <f>G82*VLOOKUP($A81,Hypothèses!$A$9:$H$28,8,FALSE)*(1+$E$19)^(G$21-1)/1000</f>
        <v>0</v>
      </c>
      <c r="H83" s="52">
        <f>H82*VLOOKUP($A81,Hypothèses!$A$9:$H$28,8,FALSE)*(1+$E$19)^(H$21-1)/1000</f>
        <v>0</v>
      </c>
      <c r="I83" s="52">
        <f>I82*VLOOKUP($A81,Hypothèses!$A$9:$H$28,8,FALSE)*(1+$E$19)^(I$21-1)/1000</f>
        <v>0</v>
      </c>
      <c r="J83" s="52">
        <f>J82*VLOOKUP($A81,Hypothèses!$A$9:$H$28,8,FALSE)*(1+$E$19)^(J$21-1)/1000</f>
        <v>0</v>
      </c>
      <c r="K83" s="52">
        <f>K82*VLOOKUP($A81,Hypothèses!$A$9:$H$28,8,FALSE)*(1+$E$19)^(K$21-1)/1000</f>
        <v>0</v>
      </c>
      <c r="L83" s="52">
        <f>L82*VLOOKUP($A81,Hypothèses!$A$9:$H$28,8,FALSE)*(1+$E$19)^(L$21-1)/1000</f>
        <v>0</v>
      </c>
      <c r="M83" s="52">
        <f>M82*VLOOKUP($A81,Hypothèses!$A$9:$H$28,8,FALSE)*(1+$E$19)^(M$21-1)/1000</f>
        <v>0</v>
      </c>
      <c r="N83" s="52">
        <f>N82*VLOOKUP($A81,Hypothèses!$A$9:$H$28,8,FALSE)*(1+$E$19)^(N$21-1)/1000</f>
        <v>0</v>
      </c>
      <c r="O83" s="52">
        <f>O82*VLOOKUP($A81,Hypothèses!$A$9:$H$28,8,FALSE)*(1+$E$19)^(O$21-1)/1000</f>
        <v>0</v>
      </c>
      <c r="P83" s="52">
        <f>P82*VLOOKUP($A81,Hypothèses!$A$9:$H$28,8,FALSE)*(1+$E$19)^(P$21-1)/1000</f>
        <v>0</v>
      </c>
      <c r="Q83" s="52">
        <f>Q82*VLOOKUP($A81,Hypothèses!$A$9:$H$28,8,FALSE)*(1+$E$19)^(Q$21-1)/1000</f>
        <v>0</v>
      </c>
      <c r="R83" s="52">
        <f>R82*VLOOKUP($A81,Hypothèses!$A$9:$H$28,8,FALSE)*(1+$E$19)^(R$21-1)/1000</f>
        <v>0</v>
      </c>
      <c r="S83" s="52">
        <f>S82*VLOOKUP($A81,Hypothèses!$A$9:$H$28,8,FALSE)*(1+$E$19)^(S$21-1)/1000</f>
        <v>0</v>
      </c>
      <c r="T83" s="52">
        <f>T82*VLOOKUP($A81,Hypothèses!$A$9:$H$28,8,FALSE)*(1+$E$19)^(T$21-1)/1000</f>
        <v>0</v>
      </c>
      <c r="U83" s="52">
        <f>U82*VLOOKUP($A81,Hypothèses!$A$9:$H$28,8,FALSE)*(1+$E$19)^(U$21-1)/1000</f>
        <v>0</v>
      </c>
      <c r="V83" s="52">
        <f>V82*VLOOKUP($A81,Hypothèses!$A$9:$H$28,8,FALSE)*(1+$E$19)^(V$21-1)/1000</f>
        <v>0</v>
      </c>
      <c r="W83" s="52">
        <f>W82*VLOOKUP($A81,Hypothèses!$A$9:$H$28,8,FALSE)*(1+$E$19)^(W$21-1)/1000</f>
        <v>0</v>
      </c>
      <c r="X83" s="52">
        <f>X82*VLOOKUP($A81,Hypothèses!$A$9:$H$28,8,FALSE)*(1+$E$19)^(X$21-1)/1000</f>
        <v>0</v>
      </c>
    </row>
    <row r="84" spans="1:25" hidden="1" outlineLevel="3" x14ac:dyDescent="0.25">
      <c r="A84" s="555" t="str">
        <f>Hypothèses!A$27</f>
        <v>Véhicule n°19</v>
      </c>
      <c r="B84" s="130" t="s">
        <v>65</v>
      </c>
      <c r="C84" s="124"/>
      <c r="D84" s="50"/>
      <c r="E84" s="213"/>
      <c r="F84" s="213"/>
      <c r="G84" s="213"/>
      <c r="H84" s="213"/>
      <c r="I84" s="213"/>
      <c r="J84" s="213"/>
      <c r="K84" s="213"/>
      <c r="L84" s="213"/>
      <c r="M84" s="213"/>
      <c r="N84" s="213"/>
      <c r="O84" s="213"/>
      <c r="P84" s="213"/>
      <c r="Q84" s="213"/>
      <c r="R84" s="213"/>
      <c r="S84" s="213"/>
      <c r="T84" s="213"/>
      <c r="U84" s="213"/>
      <c r="V84" s="213"/>
      <c r="W84" s="213"/>
      <c r="X84" s="213"/>
    </row>
    <row r="85" spans="1:25" hidden="1" outlineLevel="3" x14ac:dyDescent="0.25">
      <c r="A85" s="556"/>
      <c r="B85" s="46" t="s">
        <v>140</v>
      </c>
      <c r="C85" s="46"/>
      <c r="D85" s="88"/>
      <c r="E85" s="52">
        <f>E84*VLOOKUP($A84,Hypothèses!$A$9:$H$28,6,FALSE)</f>
        <v>0</v>
      </c>
      <c r="F85" s="52">
        <f>F84*VLOOKUP($A84,Hypothèses!$A$9:$H$28,6,FALSE)</f>
        <v>0</v>
      </c>
      <c r="G85" s="52">
        <f>G84*VLOOKUP($A84,Hypothèses!$A$9:$H$28,6,FALSE)</f>
        <v>0</v>
      </c>
      <c r="H85" s="52">
        <f>H84*VLOOKUP($A84,Hypothèses!$A$9:$H$28,6,FALSE)</f>
        <v>0</v>
      </c>
      <c r="I85" s="52">
        <f>I84*VLOOKUP($A84,Hypothèses!$A$9:$H$28,6,FALSE)</f>
        <v>0</v>
      </c>
      <c r="J85" s="52">
        <f>J84*VLOOKUP($A84,Hypothèses!$A$9:$H$28,6,FALSE)</f>
        <v>0</v>
      </c>
      <c r="K85" s="52">
        <f>K84*VLOOKUP($A84,Hypothèses!$A$9:$H$28,6,FALSE)</f>
        <v>0</v>
      </c>
      <c r="L85" s="52">
        <f>L84*VLOOKUP($A84,Hypothèses!$A$9:$H$28,6,FALSE)</f>
        <v>0</v>
      </c>
      <c r="M85" s="52">
        <f>M84*VLOOKUP($A84,Hypothèses!$A$9:$H$28,6,FALSE)</f>
        <v>0</v>
      </c>
      <c r="N85" s="52">
        <f>N84*VLOOKUP($A84,Hypothèses!$A$9:$H$28,6,FALSE)</f>
        <v>0</v>
      </c>
      <c r="O85" s="52">
        <f>O84*VLOOKUP($A84,Hypothèses!$A$9:$H$28,6,FALSE)</f>
        <v>0</v>
      </c>
      <c r="P85" s="52">
        <f>P84*VLOOKUP($A84,Hypothèses!$A$9:$H$28,6,FALSE)</f>
        <v>0</v>
      </c>
      <c r="Q85" s="52">
        <f>Q84*VLOOKUP($A84,Hypothèses!$A$9:$H$28,6,FALSE)</f>
        <v>0</v>
      </c>
      <c r="R85" s="52">
        <f>R84*VLOOKUP($A84,Hypothèses!$A$9:$H$28,6,FALSE)</f>
        <v>0</v>
      </c>
      <c r="S85" s="52">
        <f>S84*VLOOKUP($A84,Hypothèses!$A$9:$H$28,6,FALSE)</f>
        <v>0</v>
      </c>
      <c r="T85" s="52">
        <f>T84*VLOOKUP($A84,Hypothèses!$A$9:$H$28,6,FALSE)</f>
        <v>0</v>
      </c>
      <c r="U85" s="52">
        <f>U84*VLOOKUP($A84,Hypothèses!$A$9:$H$28,6,FALSE)</f>
        <v>0</v>
      </c>
      <c r="V85" s="52">
        <f>V84*VLOOKUP($A84,Hypothèses!$A$9:$H$28,6,FALSE)</f>
        <v>0</v>
      </c>
      <c r="W85" s="52">
        <f>W84*VLOOKUP($A84,Hypothèses!$A$9:$H$28,6,FALSE)</f>
        <v>0</v>
      </c>
      <c r="X85" s="52">
        <f>X84*VLOOKUP($A84,Hypothèses!$A$9:$H$28,6,FALSE)</f>
        <v>0</v>
      </c>
    </row>
    <row r="86" spans="1:25" hidden="1" outlineLevel="3" x14ac:dyDescent="0.25">
      <c r="A86" s="557"/>
      <c r="B86" s="46" t="s">
        <v>138</v>
      </c>
      <c r="C86" s="46"/>
      <c r="D86" s="48"/>
      <c r="E86" s="52">
        <f>E85*VLOOKUP($A84,Hypothèses!$A$9:$H$28,8,FALSE)*(1+$E$19)^(E$21-1)/1000</f>
        <v>0</v>
      </c>
      <c r="F86" s="52">
        <f>F85*VLOOKUP($A84,Hypothèses!$A$9:$H$28,8,FALSE)*(1+$E$19)^(F$21-1)/1000</f>
        <v>0</v>
      </c>
      <c r="G86" s="52">
        <f>G85*VLOOKUP($A84,Hypothèses!$A$9:$H$28,8,FALSE)*(1+$E$19)^(G$21-1)/1000</f>
        <v>0</v>
      </c>
      <c r="H86" s="52">
        <f>H85*VLOOKUP($A84,Hypothèses!$A$9:$H$28,8,FALSE)*(1+$E$19)^(H$21-1)/1000</f>
        <v>0</v>
      </c>
      <c r="I86" s="52">
        <f>I85*VLOOKUP($A84,Hypothèses!$A$9:$H$28,8,FALSE)*(1+$E$19)^(I$21-1)/1000</f>
        <v>0</v>
      </c>
      <c r="J86" s="52">
        <f>J85*VLOOKUP($A84,Hypothèses!$A$9:$H$28,8,FALSE)*(1+$E$19)^(J$21-1)/1000</f>
        <v>0</v>
      </c>
      <c r="K86" s="52">
        <f>K85*VLOOKUP($A84,Hypothèses!$A$9:$H$28,8,FALSE)*(1+$E$19)^(K$21-1)/1000</f>
        <v>0</v>
      </c>
      <c r="L86" s="52">
        <f>L85*VLOOKUP($A84,Hypothèses!$A$9:$H$28,8,FALSE)*(1+$E$19)^(L$21-1)/1000</f>
        <v>0</v>
      </c>
      <c r="M86" s="52">
        <f>M85*VLOOKUP($A84,Hypothèses!$A$9:$H$28,8,FALSE)*(1+$E$19)^(M$21-1)/1000</f>
        <v>0</v>
      </c>
      <c r="N86" s="52">
        <f>N85*VLOOKUP($A84,Hypothèses!$A$9:$H$28,8,FALSE)*(1+$E$19)^(N$21-1)/1000</f>
        <v>0</v>
      </c>
      <c r="O86" s="52">
        <f>O85*VLOOKUP($A84,Hypothèses!$A$9:$H$28,8,FALSE)*(1+$E$19)^(O$21-1)/1000</f>
        <v>0</v>
      </c>
      <c r="P86" s="52">
        <f>P85*VLOOKUP($A84,Hypothèses!$A$9:$H$28,8,FALSE)*(1+$E$19)^(P$21-1)/1000</f>
        <v>0</v>
      </c>
      <c r="Q86" s="52">
        <f>Q85*VLOOKUP($A84,Hypothèses!$A$9:$H$28,8,FALSE)*(1+$E$19)^(Q$21-1)/1000</f>
        <v>0</v>
      </c>
      <c r="R86" s="52">
        <f>R85*VLOOKUP($A84,Hypothèses!$A$9:$H$28,8,FALSE)*(1+$E$19)^(R$21-1)/1000</f>
        <v>0</v>
      </c>
      <c r="S86" s="52">
        <f>S85*VLOOKUP($A84,Hypothèses!$A$9:$H$28,8,FALSE)*(1+$E$19)^(S$21-1)/1000</f>
        <v>0</v>
      </c>
      <c r="T86" s="52">
        <f>T85*VLOOKUP($A84,Hypothèses!$A$9:$H$28,8,FALSE)*(1+$E$19)^(T$21-1)/1000</f>
        <v>0</v>
      </c>
      <c r="U86" s="52">
        <f>U85*VLOOKUP($A84,Hypothèses!$A$9:$H$28,8,FALSE)*(1+$E$19)^(U$21-1)/1000</f>
        <v>0</v>
      </c>
      <c r="V86" s="52">
        <f>V85*VLOOKUP($A84,Hypothèses!$A$9:$H$28,8,FALSE)*(1+$E$19)^(V$21-1)/1000</f>
        <v>0</v>
      </c>
      <c r="W86" s="52">
        <f>W85*VLOOKUP($A84,Hypothèses!$A$9:$H$28,8,FALSE)*(1+$E$19)^(W$21-1)/1000</f>
        <v>0</v>
      </c>
      <c r="X86" s="52">
        <f>X85*VLOOKUP($A84,Hypothèses!$A$9:$H$28,8,FALSE)*(1+$E$19)^(X$21-1)/1000</f>
        <v>0</v>
      </c>
    </row>
    <row r="87" spans="1:25" hidden="1" outlineLevel="3" x14ac:dyDescent="0.25">
      <c r="A87" s="555" t="str">
        <f>Hypothèses!A$28</f>
        <v>Véhicule n°20</v>
      </c>
      <c r="B87" s="130" t="s">
        <v>65</v>
      </c>
      <c r="C87" s="124"/>
      <c r="D87" s="50"/>
      <c r="E87" s="213"/>
      <c r="F87" s="213"/>
      <c r="G87" s="213"/>
      <c r="H87" s="213"/>
      <c r="I87" s="213"/>
      <c r="J87" s="213"/>
      <c r="K87" s="213"/>
      <c r="L87" s="213"/>
      <c r="M87" s="213"/>
      <c r="N87" s="213"/>
      <c r="O87" s="213"/>
      <c r="P87" s="213"/>
      <c r="Q87" s="213"/>
      <c r="R87" s="213"/>
      <c r="S87" s="213"/>
      <c r="T87" s="213"/>
      <c r="U87" s="213"/>
      <c r="V87" s="213"/>
      <c r="W87" s="213"/>
      <c r="X87" s="213"/>
    </row>
    <row r="88" spans="1:25" hidden="1" outlineLevel="3" x14ac:dyDescent="0.25">
      <c r="A88" s="556"/>
      <c r="B88" s="46" t="s">
        <v>140</v>
      </c>
      <c r="C88" s="46"/>
      <c r="D88" s="88"/>
      <c r="E88" s="52">
        <f>E87*VLOOKUP($A87,Hypothèses!$A$9:$H$28,6,FALSE)</f>
        <v>0</v>
      </c>
      <c r="F88" s="52">
        <f>F87*VLOOKUP($A87,Hypothèses!$A$9:$H$28,6,FALSE)</f>
        <v>0</v>
      </c>
      <c r="G88" s="52">
        <f>G87*VLOOKUP($A87,Hypothèses!$A$9:$H$28,6,FALSE)</f>
        <v>0</v>
      </c>
      <c r="H88" s="52">
        <f>H87*VLOOKUP($A87,Hypothèses!$A$9:$H$28,6,FALSE)</f>
        <v>0</v>
      </c>
      <c r="I88" s="52">
        <f>I87*VLOOKUP($A87,Hypothèses!$A$9:$H$28,6,FALSE)</f>
        <v>0</v>
      </c>
      <c r="J88" s="52">
        <f>J87*VLOOKUP($A87,Hypothèses!$A$9:$H$28,6,FALSE)</f>
        <v>0</v>
      </c>
      <c r="K88" s="52">
        <f>K87*VLOOKUP($A87,Hypothèses!$A$9:$H$28,6,FALSE)</f>
        <v>0</v>
      </c>
      <c r="L88" s="52">
        <f>L87*VLOOKUP($A87,Hypothèses!$A$9:$H$28,6,FALSE)</f>
        <v>0</v>
      </c>
      <c r="M88" s="52">
        <f>M87*VLOOKUP($A87,Hypothèses!$A$9:$H$28,6,FALSE)</f>
        <v>0</v>
      </c>
      <c r="N88" s="52">
        <f>N87*VLOOKUP($A87,Hypothèses!$A$9:$H$28,6,FALSE)</f>
        <v>0</v>
      </c>
      <c r="O88" s="52">
        <f>O87*VLOOKUP($A87,Hypothèses!$A$9:$H$28,6,FALSE)</f>
        <v>0</v>
      </c>
      <c r="P88" s="52">
        <f>P87*VLOOKUP($A87,Hypothèses!$A$9:$H$28,6,FALSE)</f>
        <v>0</v>
      </c>
      <c r="Q88" s="52">
        <f>Q87*VLOOKUP($A87,Hypothèses!$A$9:$H$28,6,FALSE)</f>
        <v>0</v>
      </c>
      <c r="R88" s="52">
        <f>R87*VLOOKUP($A87,Hypothèses!$A$9:$H$28,6,FALSE)</f>
        <v>0</v>
      </c>
      <c r="S88" s="52">
        <f>S87*VLOOKUP($A87,Hypothèses!$A$9:$H$28,6,FALSE)</f>
        <v>0</v>
      </c>
      <c r="T88" s="52">
        <f>T87*VLOOKUP($A87,Hypothèses!$A$9:$H$28,6,FALSE)</f>
        <v>0</v>
      </c>
      <c r="U88" s="52">
        <f>U87*VLOOKUP($A87,Hypothèses!$A$9:$H$28,6,FALSE)</f>
        <v>0</v>
      </c>
      <c r="V88" s="52">
        <f>V87*VLOOKUP($A87,Hypothèses!$A$9:$H$28,6,FALSE)</f>
        <v>0</v>
      </c>
      <c r="W88" s="52">
        <f>W87*VLOOKUP($A87,Hypothèses!$A$9:$H$28,6,FALSE)</f>
        <v>0</v>
      </c>
      <c r="X88" s="52">
        <f>X87*VLOOKUP($A87,Hypothèses!$A$9:$H$28,6,FALSE)</f>
        <v>0</v>
      </c>
    </row>
    <row r="89" spans="1:25" hidden="1" outlineLevel="3" x14ac:dyDescent="0.25">
      <c r="A89" s="557"/>
      <c r="B89" s="46" t="s">
        <v>138</v>
      </c>
      <c r="C89" s="46"/>
      <c r="D89" s="55"/>
      <c r="E89" s="52">
        <f>E88*VLOOKUP($A87,Hypothèses!$A$9:$H$28,8,FALSE)*(1+$E$19)^(E$21-1)/1000</f>
        <v>0</v>
      </c>
      <c r="F89" s="52">
        <f>F88*VLOOKUP($A87,Hypothèses!$A$9:$H$28,8,FALSE)*(1+$E$19)^(F$21-1)/1000</f>
        <v>0</v>
      </c>
      <c r="G89" s="52">
        <f>G88*VLOOKUP($A87,Hypothèses!$A$9:$H$28,8,FALSE)*(1+$E$19)^(G$21-1)/1000</f>
        <v>0</v>
      </c>
      <c r="H89" s="52">
        <f>H88*VLOOKUP($A87,Hypothèses!$A$9:$H$28,8,FALSE)*(1+$E$19)^(H$21-1)/1000</f>
        <v>0</v>
      </c>
      <c r="I89" s="52">
        <f>I88*VLOOKUP($A87,Hypothèses!$A$9:$H$28,8,FALSE)*(1+$E$19)^(I$21-1)/1000</f>
        <v>0</v>
      </c>
      <c r="J89" s="52">
        <f>J88*VLOOKUP($A87,Hypothèses!$A$9:$H$28,8,FALSE)*(1+$E$19)^(J$21-1)/1000</f>
        <v>0</v>
      </c>
      <c r="K89" s="52">
        <f>K88*VLOOKUP($A87,Hypothèses!$A$9:$H$28,8,FALSE)*(1+$E$19)^(K$21-1)/1000</f>
        <v>0</v>
      </c>
      <c r="L89" s="52">
        <f>L88*VLOOKUP($A87,Hypothèses!$A$9:$H$28,8,FALSE)*(1+$E$19)^(L$21-1)/1000</f>
        <v>0</v>
      </c>
      <c r="M89" s="52">
        <f>M88*VLOOKUP($A87,Hypothèses!$A$9:$H$28,8,FALSE)*(1+$E$19)^(M$21-1)/1000</f>
        <v>0</v>
      </c>
      <c r="N89" s="52">
        <f>N88*VLOOKUP($A87,Hypothèses!$A$9:$H$28,8,FALSE)*(1+$E$19)^(N$21-1)/1000</f>
        <v>0</v>
      </c>
      <c r="O89" s="52">
        <f>O88*VLOOKUP($A87,Hypothèses!$A$9:$H$28,8,FALSE)*(1+$E$19)^(O$21-1)/1000</f>
        <v>0</v>
      </c>
      <c r="P89" s="52">
        <f>P88*VLOOKUP($A87,Hypothèses!$A$9:$H$28,8,FALSE)*(1+$E$19)^(P$21-1)/1000</f>
        <v>0</v>
      </c>
      <c r="Q89" s="52">
        <f>Q88*VLOOKUP($A87,Hypothèses!$A$9:$H$28,8,FALSE)*(1+$E$19)^(Q$21-1)/1000</f>
        <v>0</v>
      </c>
      <c r="R89" s="52">
        <f>R88*VLOOKUP($A87,Hypothèses!$A$9:$H$28,8,FALSE)*(1+$E$19)^(R$21-1)/1000</f>
        <v>0</v>
      </c>
      <c r="S89" s="52">
        <f>S88*VLOOKUP($A87,Hypothèses!$A$9:$H$28,8,FALSE)*(1+$E$19)^(S$21-1)/1000</f>
        <v>0</v>
      </c>
      <c r="T89" s="52">
        <f>T88*VLOOKUP($A87,Hypothèses!$A$9:$H$28,8,FALSE)*(1+$E$19)^(T$21-1)/1000</f>
        <v>0</v>
      </c>
      <c r="U89" s="52">
        <f>U88*VLOOKUP($A87,Hypothèses!$A$9:$H$28,8,FALSE)*(1+$E$19)^(U$21-1)/1000</f>
        <v>0</v>
      </c>
      <c r="V89" s="52">
        <f>V88*VLOOKUP($A87,Hypothèses!$A$9:$H$28,8,FALSE)*(1+$E$19)^(V$21-1)/1000</f>
        <v>0</v>
      </c>
      <c r="W89" s="52">
        <f>W88*VLOOKUP($A87,Hypothèses!$A$9:$H$28,8,FALSE)*(1+$E$19)^(W$21-1)/1000</f>
        <v>0</v>
      </c>
      <c r="X89" s="52">
        <f>X88*VLOOKUP($A87,Hypothèses!$A$9:$H$28,8,FALSE)*(1+$E$19)^(X$21-1)/1000</f>
        <v>0</v>
      </c>
    </row>
    <row r="90" spans="1:25" hidden="1" outlineLevel="2" x14ac:dyDescent="0.25">
      <c r="A90" s="584" t="s">
        <v>137</v>
      </c>
      <c r="B90" s="131" t="s">
        <v>140</v>
      </c>
      <c r="C90" s="124"/>
      <c r="D90" s="50"/>
      <c r="E90" s="213"/>
      <c r="F90" s="213"/>
      <c r="G90" s="213"/>
      <c r="H90" s="213"/>
      <c r="I90" s="213"/>
      <c r="J90" s="213"/>
      <c r="K90" s="214"/>
      <c r="L90" s="213"/>
      <c r="M90" s="213"/>
      <c r="N90" s="213"/>
      <c r="O90" s="213"/>
      <c r="P90" s="213"/>
      <c r="Q90" s="213"/>
      <c r="R90" s="213"/>
      <c r="S90" s="213"/>
      <c r="T90" s="213"/>
      <c r="U90" s="213"/>
      <c r="V90" s="213"/>
      <c r="W90" s="213"/>
      <c r="X90" s="215"/>
    </row>
    <row r="91" spans="1:25" hidden="1" outlineLevel="2" x14ac:dyDescent="0.25">
      <c r="A91" s="585"/>
      <c r="B91" s="132" t="s">
        <v>138</v>
      </c>
      <c r="C91" s="127"/>
      <c r="D91" s="56"/>
      <c r="E91" s="216"/>
      <c r="F91" s="216"/>
      <c r="G91" s="216"/>
      <c r="H91" s="216"/>
      <c r="I91" s="216"/>
      <c r="J91" s="216"/>
      <c r="K91" s="216"/>
      <c r="L91" s="216"/>
      <c r="M91" s="216"/>
      <c r="N91" s="216"/>
      <c r="O91" s="216"/>
      <c r="P91" s="216"/>
      <c r="Q91" s="216"/>
      <c r="R91" s="216"/>
      <c r="S91" s="216"/>
      <c r="T91" s="216"/>
      <c r="U91" s="216"/>
      <c r="V91" s="216"/>
      <c r="W91" s="216"/>
      <c r="X91" s="217"/>
    </row>
    <row r="92" spans="1:25" hidden="1" outlineLevel="2" x14ac:dyDescent="0.25">
      <c r="A92" s="586" t="s">
        <v>142</v>
      </c>
      <c r="B92" s="587"/>
      <c r="C92" s="125"/>
      <c r="D92" s="99"/>
      <c r="E92" s="99">
        <f t="shared" ref="E92:X92" si="3">(E31+E90+E58+E55+E52+E49+E46+E43+E40+E37+E34)/1000</f>
        <v>0</v>
      </c>
      <c r="F92" s="99">
        <f t="shared" si="3"/>
        <v>0</v>
      </c>
      <c r="G92" s="99">
        <f t="shared" si="3"/>
        <v>0</v>
      </c>
      <c r="H92" s="99">
        <f t="shared" si="3"/>
        <v>0</v>
      </c>
      <c r="I92" s="99">
        <f t="shared" si="3"/>
        <v>0</v>
      </c>
      <c r="J92" s="99">
        <f t="shared" si="3"/>
        <v>0</v>
      </c>
      <c r="K92" s="99">
        <f t="shared" si="3"/>
        <v>0</v>
      </c>
      <c r="L92" s="99">
        <f t="shared" si="3"/>
        <v>0</v>
      </c>
      <c r="M92" s="99">
        <f t="shared" si="3"/>
        <v>0</v>
      </c>
      <c r="N92" s="99">
        <f t="shared" si="3"/>
        <v>0</v>
      </c>
      <c r="O92" s="99">
        <f t="shared" si="3"/>
        <v>0</v>
      </c>
      <c r="P92" s="99">
        <f t="shared" si="3"/>
        <v>0</v>
      </c>
      <c r="Q92" s="99">
        <f t="shared" si="3"/>
        <v>0</v>
      </c>
      <c r="R92" s="99">
        <f t="shared" si="3"/>
        <v>0</v>
      </c>
      <c r="S92" s="99">
        <f t="shared" si="3"/>
        <v>0</v>
      </c>
      <c r="T92" s="99">
        <f t="shared" si="3"/>
        <v>0</v>
      </c>
      <c r="U92" s="99">
        <f t="shared" si="3"/>
        <v>0</v>
      </c>
      <c r="V92" s="99">
        <f t="shared" si="3"/>
        <v>0</v>
      </c>
      <c r="W92" s="99">
        <f t="shared" si="3"/>
        <v>0</v>
      </c>
      <c r="X92" s="100">
        <f t="shared" si="3"/>
        <v>0</v>
      </c>
    </row>
    <row r="93" spans="1:25" ht="30.75" hidden="1" customHeight="1" outlineLevel="1" collapsed="1" x14ac:dyDescent="0.25">
      <c r="A93" s="92" t="s">
        <v>141</v>
      </c>
      <c r="B93" s="93"/>
      <c r="C93" s="123"/>
      <c r="D93" s="98">
        <f>D95+D97+D99+D101+D103+D105+D107+D109+D111+D113</f>
        <v>0</v>
      </c>
      <c r="E93" s="98">
        <f>E95+E97+E99+E101+E103+E105+E107+E109+E111+E113</f>
        <v>0</v>
      </c>
      <c r="F93" s="98">
        <f t="shared" ref="F93:X93" si="4">F95+F97+F99+F101+F103+F105+F107+F109+F111+F113</f>
        <v>0</v>
      </c>
      <c r="G93" s="98">
        <f t="shared" si="4"/>
        <v>0</v>
      </c>
      <c r="H93" s="98">
        <f t="shared" si="4"/>
        <v>0</v>
      </c>
      <c r="I93" s="98">
        <f t="shared" si="4"/>
        <v>0</v>
      </c>
      <c r="J93" s="98">
        <f t="shared" si="4"/>
        <v>0</v>
      </c>
      <c r="K93" s="98">
        <f t="shared" si="4"/>
        <v>0</v>
      </c>
      <c r="L93" s="98">
        <f t="shared" si="4"/>
        <v>0</v>
      </c>
      <c r="M93" s="98">
        <f t="shared" si="4"/>
        <v>0</v>
      </c>
      <c r="N93" s="98">
        <f t="shared" si="4"/>
        <v>0</v>
      </c>
      <c r="O93" s="98">
        <f t="shared" si="4"/>
        <v>0</v>
      </c>
      <c r="P93" s="98">
        <f t="shared" si="4"/>
        <v>0</v>
      </c>
      <c r="Q93" s="98">
        <f t="shared" si="4"/>
        <v>0</v>
      </c>
      <c r="R93" s="98">
        <f t="shared" si="4"/>
        <v>0</v>
      </c>
      <c r="S93" s="98">
        <f t="shared" si="4"/>
        <v>0</v>
      </c>
      <c r="T93" s="98">
        <f t="shared" si="4"/>
        <v>0</v>
      </c>
      <c r="U93" s="98">
        <f t="shared" si="4"/>
        <v>0</v>
      </c>
      <c r="V93" s="98">
        <f t="shared" si="4"/>
        <v>0</v>
      </c>
      <c r="W93" s="98">
        <f t="shared" si="4"/>
        <v>0</v>
      </c>
      <c r="X93" s="94">
        <f t="shared" si="4"/>
        <v>0</v>
      </c>
    </row>
    <row r="94" spans="1:25" hidden="1" outlineLevel="2" x14ac:dyDescent="0.25">
      <c r="A94" s="555" t="str">
        <f>Hypothèses!A33</f>
        <v>Usage n°1</v>
      </c>
      <c r="B94" s="131" t="s">
        <v>140</v>
      </c>
      <c r="C94" s="124"/>
      <c r="D94" s="50"/>
      <c r="E94" s="218"/>
      <c r="F94" s="219"/>
      <c r="G94" s="219"/>
      <c r="H94" s="218"/>
      <c r="I94" s="218"/>
      <c r="J94" s="219"/>
      <c r="K94" s="218"/>
      <c r="L94" s="218"/>
      <c r="M94" s="218"/>
      <c r="N94" s="218"/>
      <c r="O94" s="219"/>
      <c r="P94" s="219"/>
      <c r="Q94" s="219"/>
      <c r="R94" s="219"/>
      <c r="S94" s="218"/>
      <c r="T94" s="218"/>
      <c r="U94" s="219"/>
      <c r="V94" s="219"/>
      <c r="W94" s="219"/>
      <c r="X94" s="219"/>
      <c r="Y94" s="91" t="str">
        <f>IF(MAX(E94:X94)&lt;&gt;Hypothèses!D$33,"Incohérence avec l'onglet hypothèses","")</f>
        <v/>
      </c>
    </row>
    <row r="95" spans="1:25" hidden="1" outlineLevel="2" x14ac:dyDescent="0.25">
      <c r="A95" s="557"/>
      <c r="B95" s="46" t="s">
        <v>138</v>
      </c>
      <c r="C95" s="46"/>
      <c r="D95" s="48"/>
      <c r="E95" s="220"/>
      <c r="F95" s="220"/>
      <c r="G95" s="220"/>
      <c r="H95" s="220"/>
      <c r="I95" s="220"/>
      <c r="J95" s="220"/>
      <c r="K95" s="220"/>
      <c r="L95" s="220"/>
      <c r="M95" s="220"/>
      <c r="N95" s="220"/>
      <c r="O95" s="220"/>
      <c r="P95" s="220"/>
      <c r="Q95" s="220"/>
      <c r="R95" s="220"/>
      <c r="S95" s="220"/>
      <c r="T95" s="220"/>
      <c r="U95" s="220"/>
      <c r="V95" s="220"/>
      <c r="W95" s="220"/>
      <c r="X95" s="220"/>
    </row>
    <row r="96" spans="1:25" hidden="1" outlineLevel="2" x14ac:dyDescent="0.25">
      <c r="A96" s="555" t="str">
        <f>Hypothèses!A34</f>
        <v>Usage n°2</v>
      </c>
      <c r="B96" s="130" t="s">
        <v>140</v>
      </c>
      <c r="C96" s="124"/>
      <c r="D96" s="50"/>
      <c r="E96" s="213"/>
      <c r="F96" s="213"/>
      <c r="G96" s="213"/>
      <c r="H96" s="213"/>
      <c r="I96" s="213"/>
      <c r="J96" s="213"/>
      <c r="K96" s="213"/>
      <c r="L96" s="213"/>
      <c r="M96" s="219"/>
      <c r="N96" s="221"/>
      <c r="O96" s="213"/>
      <c r="P96" s="213"/>
      <c r="Q96" s="213"/>
      <c r="R96" s="213"/>
      <c r="S96" s="213"/>
      <c r="T96" s="213"/>
      <c r="U96" s="213"/>
      <c r="V96" s="213"/>
      <c r="W96" s="213"/>
      <c r="X96" s="213"/>
      <c r="Y96" s="91" t="str">
        <f>IF(MAX(E96:X96)&lt;&gt;Hypothèses!D$34,"Incohérence avec l'onglet hypothèses","")</f>
        <v/>
      </c>
    </row>
    <row r="97" spans="1:25" hidden="1" outlineLevel="2" x14ac:dyDescent="0.25">
      <c r="A97" s="557"/>
      <c r="B97" s="46" t="s">
        <v>138</v>
      </c>
      <c r="C97" s="46"/>
      <c r="D97" s="48"/>
      <c r="E97" s="220"/>
      <c r="F97" s="222"/>
      <c r="G97" s="222"/>
      <c r="H97" s="223"/>
      <c r="I97" s="220"/>
      <c r="J97" s="220"/>
      <c r="K97" s="220"/>
      <c r="L97" s="220"/>
      <c r="M97" s="220"/>
      <c r="N97" s="224"/>
      <c r="O97" s="222"/>
      <c r="P97" s="222"/>
      <c r="Q97" s="222"/>
      <c r="R97" s="222"/>
      <c r="S97" s="220"/>
      <c r="T97" s="220"/>
      <c r="U97" s="222"/>
      <c r="V97" s="222"/>
      <c r="W97" s="222"/>
      <c r="X97" s="222"/>
    </row>
    <row r="98" spans="1:25" hidden="1" outlineLevel="2" x14ac:dyDescent="0.25">
      <c r="A98" s="555" t="str">
        <f>Hypothèses!A35</f>
        <v>Usage n°3</v>
      </c>
      <c r="B98" s="131" t="s">
        <v>140</v>
      </c>
      <c r="C98" s="124"/>
      <c r="D98" s="50"/>
      <c r="E98" s="213"/>
      <c r="F98" s="213"/>
      <c r="G98" s="213"/>
      <c r="H98" s="213"/>
      <c r="I98" s="213"/>
      <c r="J98" s="213"/>
      <c r="K98" s="213"/>
      <c r="L98" s="213"/>
      <c r="M98" s="219"/>
      <c r="N98" s="221"/>
      <c r="O98" s="213"/>
      <c r="P98" s="213"/>
      <c r="Q98" s="213"/>
      <c r="R98" s="213"/>
      <c r="S98" s="213"/>
      <c r="T98" s="213"/>
      <c r="U98" s="213"/>
      <c r="V98" s="213"/>
      <c r="W98" s="213"/>
      <c r="X98" s="213"/>
      <c r="Y98" s="91" t="str">
        <f>IF(MAX(E98:X98)&lt;&gt;Hypothèses!D$35,"Incohérence avec l'onglet hypothèses","")</f>
        <v/>
      </c>
    </row>
    <row r="99" spans="1:25" hidden="1" outlineLevel="2" x14ac:dyDescent="0.25">
      <c r="A99" s="557"/>
      <c r="B99" s="46" t="s">
        <v>138</v>
      </c>
      <c r="C99" s="46"/>
      <c r="D99" s="48"/>
      <c r="E99" s="220"/>
      <c r="F99" s="222"/>
      <c r="G99" s="222"/>
      <c r="H99" s="220"/>
      <c r="I99" s="224"/>
      <c r="J99" s="220"/>
      <c r="K99" s="220"/>
      <c r="L99" s="220"/>
      <c r="M99" s="220"/>
      <c r="N99" s="224"/>
      <c r="O99" s="222"/>
      <c r="P99" s="222"/>
      <c r="Q99" s="222"/>
      <c r="R99" s="222"/>
      <c r="S99" s="220"/>
      <c r="T99" s="220"/>
      <c r="U99" s="222"/>
      <c r="V99" s="222"/>
      <c r="W99" s="222"/>
      <c r="X99" s="222"/>
    </row>
    <row r="100" spans="1:25" hidden="1" outlineLevel="2" x14ac:dyDescent="0.25">
      <c r="A100" s="555" t="str">
        <f>Hypothèses!A36</f>
        <v>Usage n°4</v>
      </c>
      <c r="B100" s="131" t="s">
        <v>140</v>
      </c>
      <c r="C100" s="124"/>
      <c r="D100" s="50"/>
      <c r="E100" s="213"/>
      <c r="F100" s="213"/>
      <c r="G100" s="213"/>
      <c r="H100" s="219"/>
      <c r="I100" s="221"/>
      <c r="J100" s="213"/>
      <c r="K100" s="213"/>
      <c r="L100" s="213"/>
      <c r="M100" s="219"/>
      <c r="N100" s="221"/>
      <c r="O100" s="213"/>
      <c r="P100" s="213"/>
      <c r="Q100" s="213"/>
      <c r="R100" s="213"/>
      <c r="S100" s="213"/>
      <c r="T100" s="213"/>
      <c r="U100" s="213"/>
      <c r="V100" s="213"/>
      <c r="W100" s="213"/>
      <c r="X100" s="213"/>
      <c r="Y100" s="91" t="str">
        <f>IF(MAX(E100:X100)&lt;&gt;Hypothèses!D$36,"Incohérence avec l'onglet hypothèses","")</f>
        <v/>
      </c>
    </row>
    <row r="101" spans="1:25" hidden="1" outlineLevel="2" x14ac:dyDescent="0.25">
      <c r="A101" s="557"/>
      <c r="B101" s="46" t="s">
        <v>138</v>
      </c>
      <c r="C101" s="46"/>
      <c r="D101" s="48"/>
      <c r="E101" s="220"/>
      <c r="F101" s="222"/>
      <c r="G101" s="222"/>
      <c r="H101" s="220"/>
      <c r="I101" s="224"/>
      <c r="J101" s="220"/>
      <c r="K101" s="220"/>
      <c r="L101" s="220"/>
      <c r="M101" s="220"/>
      <c r="N101" s="224"/>
      <c r="O101" s="222"/>
      <c r="P101" s="222"/>
      <c r="Q101" s="222"/>
      <c r="R101" s="222"/>
      <c r="S101" s="220"/>
      <c r="T101" s="220"/>
      <c r="U101" s="222"/>
      <c r="V101" s="222"/>
      <c r="W101" s="222"/>
      <c r="X101" s="222"/>
    </row>
    <row r="102" spans="1:25" hidden="1" outlineLevel="2" x14ac:dyDescent="0.25">
      <c r="A102" s="555" t="str">
        <f>Hypothèses!A37</f>
        <v>Usage n°5</v>
      </c>
      <c r="B102" s="131" t="s">
        <v>140</v>
      </c>
      <c r="C102" s="124"/>
      <c r="D102" s="50"/>
      <c r="E102" s="213"/>
      <c r="F102" s="213"/>
      <c r="G102" s="213"/>
      <c r="H102" s="219"/>
      <c r="I102" s="221"/>
      <c r="J102" s="213"/>
      <c r="K102" s="213"/>
      <c r="L102" s="213"/>
      <c r="M102" s="219"/>
      <c r="N102" s="221"/>
      <c r="O102" s="213"/>
      <c r="P102" s="213"/>
      <c r="Q102" s="213"/>
      <c r="R102" s="213"/>
      <c r="S102" s="213"/>
      <c r="T102" s="213"/>
      <c r="U102" s="213"/>
      <c r="V102" s="213"/>
      <c r="W102" s="213"/>
      <c r="X102" s="213"/>
      <c r="Y102" s="91" t="str">
        <f>IF(MAX(E102:X102)&lt;&gt;Hypothèses!D$37,"Incohérence avec l'onglet hypothèses","")</f>
        <v/>
      </c>
    </row>
    <row r="103" spans="1:25" hidden="1" outlineLevel="2" x14ac:dyDescent="0.25">
      <c r="A103" s="557"/>
      <c r="B103" s="46" t="s">
        <v>138</v>
      </c>
      <c r="C103" s="46"/>
      <c r="D103" s="48"/>
      <c r="E103" s="220"/>
      <c r="F103" s="222"/>
      <c r="G103" s="222"/>
      <c r="H103" s="220"/>
      <c r="I103" s="224"/>
      <c r="J103" s="220"/>
      <c r="K103" s="220"/>
      <c r="L103" s="220"/>
      <c r="M103" s="220"/>
      <c r="N103" s="224"/>
      <c r="O103" s="222"/>
      <c r="P103" s="222"/>
      <c r="Q103" s="222"/>
      <c r="R103" s="222"/>
      <c r="S103" s="220"/>
      <c r="T103" s="220"/>
      <c r="U103" s="222"/>
      <c r="V103" s="222"/>
      <c r="W103" s="222"/>
      <c r="X103" s="222"/>
    </row>
    <row r="104" spans="1:25" hidden="1" outlineLevel="2" x14ac:dyDescent="0.25">
      <c r="A104" s="555" t="str">
        <f>Hypothèses!A38</f>
        <v>Usage n°6</v>
      </c>
      <c r="B104" s="131" t="s">
        <v>140</v>
      </c>
      <c r="C104" s="124"/>
      <c r="D104" s="50"/>
      <c r="E104" s="213"/>
      <c r="F104" s="213"/>
      <c r="G104" s="213"/>
      <c r="H104" s="219"/>
      <c r="I104" s="221"/>
      <c r="J104" s="213"/>
      <c r="K104" s="213"/>
      <c r="L104" s="213"/>
      <c r="M104" s="219"/>
      <c r="N104" s="221"/>
      <c r="O104" s="213"/>
      <c r="P104" s="213"/>
      <c r="Q104" s="213"/>
      <c r="R104" s="213"/>
      <c r="S104" s="213"/>
      <c r="T104" s="213"/>
      <c r="U104" s="213"/>
      <c r="V104" s="213"/>
      <c r="W104" s="213"/>
      <c r="X104" s="213"/>
      <c r="Y104" s="91" t="str">
        <f>IF(MAX(E104:X104)&lt;&gt;Hypothèses!D$38,"Incohérence avec l'onglet hypothèses","")</f>
        <v/>
      </c>
    </row>
    <row r="105" spans="1:25" hidden="1" outlineLevel="2" x14ac:dyDescent="0.25">
      <c r="A105" s="557"/>
      <c r="B105" s="46" t="s">
        <v>138</v>
      </c>
      <c r="C105" s="46"/>
      <c r="D105" s="48"/>
      <c r="E105" s="220"/>
      <c r="F105" s="222"/>
      <c r="G105" s="222"/>
      <c r="H105" s="220"/>
      <c r="I105" s="224"/>
      <c r="J105" s="220"/>
      <c r="K105" s="220"/>
      <c r="L105" s="220"/>
      <c r="M105" s="220"/>
      <c r="N105" s="224"/>
      <c r="O105" s="222"/>
      <c r="P105" s="222"/>
      <c r="Q105" s="222"/>
      <c r="R105" s="222"/>
      <c r="S105" s="220"/>
      <c r="T105" s="220"/>
      <c r="U105" s="222"/>
      <c r="V105" s="222"/>
      <c r="W105" s="222"/>
      <c r="X105" s="222"/>
    </row>
    <row r="106" spans="1:25" hidden="1" outlineLevel="2" x14ac:dyDescent="0.25">
      <c r="A106" s="555" t="str">
        <f>Hypothèses!A39</f>
        <v>Usage n°7</v>
      </c>
      <c r="B106" s="131" t="s">
        <v>140</v>
      </c>
      <c r="C106" s="124"/>
      <c r="D106" s="50"/>
      <c r="E106" s="213"/>
      <c r="F106" s="213"/>
      <c r="G106" s="213"/>
      <c r="H106" s="219"/>
      <c r="I106" s="221"/>
      <c r="J106" s="213"/>
      <c r="K106" s="213"/>
      <c r="L106" s="213"/>
      <c r="M106" s="219"/>
      <c r="N106" s="221"/>
      <c r="O106" s="213"/>
      <c r="P106" s="213"/>
      <c r="Q106" s="213"/>
      <c r="R106" s="213"/>
      <c r="S106" s="213"/>
      <c r="T106" s="213"/>
      <c r="U106" s="213"/>
      <c r="V106" s="213"/>
      <c r="W106" s="213"/>
      <c r="X106" s="213"/>
      <c r="Y106" s="91" t="str">
        <f>IF(MAX(E106:X106)&lt;&gt;Hypothèses!D$39,"Incohérence avec l'onglet hypothèses","")</f>
        <v/>
      </c>
    </row>
    <row r="107" spans="1:25" hidden="1" outlineLevel="2" x14ac:dyDescent="0.25">
      <c r="A107" s="557"/>
      <c r="B107" s="46" t="s">
        <v>138</v>
      </c>
      <c r="C107" s="46"/>
      <c r="D107" s="48"/>
      <c r="E107" s="220"/>
      <c r="F107" s="222"/>
      <c r="G107" s="222"/>
      <c r="H107" s="220"/>
      <c r="I107" s="224"/>
      <c r="J107" s="220"/>
      <c r="K107" s="220"/>
      <c r="L107" s="220"/>
      <c r="M107" s="220"/>
      <c r="N107" s="224"/>
      <c r="O107" s="222"/>
      <c r="P107" s="222"/>
      <c r="Q107" s="222"/>
      <c r="R107" s="222"/>
      <c r="S107" s="220"/>
      <c r="T107" s="220"/>
      <c r="U107" s="222"/>
      <c r="V107" s="222"/>
      <c r="W107" s="222"/>
      <c r="X107" s="222"/>
    </row>
    <row r="108" spans="1:25" hidden="1" outlineLevel="2" x14ac:dyDescent="0.25">
      <c r="A108" s="555" t="str">
        <f>Hypothèses!A40</f>
        <v>Usage n°8</v>
      </c>
      <c r="B108" s="130" t="s">
        <v>140</v>
      </c>
      <c r="C108" s="124"/>
      <c r="D108" s="50"/>
      <c r="E108" s="213"/>
      <c r="F108" s="213"/>
      <c r="G108" s="213"/>
      <c r="H108" s="219"/>
      <c r="I108" s="221"/>
      <c r="J108" s="213"/>
      <c r="K108" s="213"/>
      <c r="L108" s="213"/>
      <c r="M108" s="219"/>
      <c r="N108" s="221"/>
      <c r="O108" s="213"/>
      <c r="P108" s="213"/>
      <c r="Q108" s="213"/>
      <c r="R108" s="213"/>
      <c r="S108" s="213"/>
      <c r="T108" s="213"/>
      <c r="U108" s="213"/>
      <c r="V108" s="213"/>
      <c r="W108" s="213"/>
      <c r="X108" s="213"/>
      <c r="Y108" s="91" t="str">
        <f>IF(MAX(E108:X108)&lt;&gt;Hypothèses!D$40,"Incohérence avec l'onglet hypothèses","")</f>
        <v/>
      </c>
    </row>
    <row r="109" spans="1:25" hidden="1" outlineLevel="2" x14ac:dyDescent="0.25">
      <c r="A109" s="557"/>
      <c r="B109" s="46" t="s">
        <v>138</v>
      </c>
      <c r="C109" s="46"/>
      <c r="D109" s="48"/>
      <c r="E109" s="220"/>
      <c r="F109" s="222"/>
      <c r="G109" s="222"/>
      <c r="H109" s="220"/>
      <c r="I109" s="224"/>
      <c r="J109" s="220"/>
      <c r="K109" s="220"/>
      <c r="L109" s="220"/>
      <c r="M109" s="220"/>
      <c r="N109" s="224"/>
      <c r="O109" s="222"/>
      <c r="P109" s="222"/>
      <c r="Q109" s="222"/>
      <c r="R109" s="222"/>
      <c r="S109" s="220"/>
      <c r="T109" s="220"/>
      <c r="U109" s="222"/>
      <c r="V109" s="222"/>
      <c r="W109" s="222"/>
      <c r="X109" s="222"/>
    </row>
    <row r="110" spans="1:25" hidden="1" outlineLevel="2" x14ac:dyDescent="0.25">
      <c r="A110" s="555" t="str">
        <f>Hypothèses!A41</f>
        <v>Usage n°9</v>
      </c>
      <c r="B110" s="131" t="s">
        <v>140</v>
      </c>
      <c r="C110" s="124"/>
      <c r="D110" s="50"/>
      <c r="E110" s="213"/>
      <c r="F110" s="213"/>
      <c r="G110" s="213"/>
      <c r="H110" s="219"/>
      <c r="I110" s="221"/>
      <c r="J110" s="213"/>
      <c r="K110" s="213"/>
      <c r="L110" s="213"/>
      <c r="M110" s="219"/>
      <c r="N110" s="221"/>
      <c r="O110" s="213"/>
      <c r="P110" s="213"/>
      <c r="Q110" s="213"/>
      <c r="R110" s="213"/>
      <c r="S110" s="213"/>
      <c r="T110" s="213"/>
      <c r="U110" s="213"/>
      <c r="V110" s="213"/>
      <c r="W110" s="213"/>
      <c r="X110" s="213"/>
      <c r="Y110" s="91" t="str">
        <f>IF(MAX(E110:X110)&lt;&gt;Hypothèses!D$41,"Incohérence avec l'onglet hypothèses","")</f>
        <v/>
      </c>
    </row>
    <row r="111" spans="1:25" hidden="1" outlineLevel="2" x14ac:dyDescent="0.25">
      <c r="A111" s="557"/>
      <c r="B111" s="46" t="s">
        <v>138</v>
      </c>
      <c r="C111" s="46"/>
      <c r="D111" s="48"/>
      <c r="E111" s="220"/>
      <c r="F111" s="222"/>
      <c r="G111" s="222"/>
      <c r="H111" s="220"/>
      <c r="I111" s="224"/>
      <c r="J111" s="220"/>
      <c r="K111" s="220"/>
      <c r="L111" s="220"/>
      <c r="M111" s="220"/>
      <c r="N111" s="224"/>
      <c r="O111" s="222"/>
      <c r="P111" s="222"/>
      <c r="Q111" s="222"/>
      <c r="R111" s="222"/>
      <c r="S111" s="220"/>
      <c r="T111" s="220"/>
      <c r="U111" s="222"/>
      <c r="V111" s="222"/>
      <c r="W111" s="222"/>
      <c r="X111" s="222"/>
    </row>
    <row r="112" spans="1:25" hidden="1" outlineLevel="2" x14ac:dyDescent="0.25">
      <c r="A112" s="555" t="str">
        <f>Hypothèses!A42</f>
        <v>Usage n°10</v>
      </c>
      <c r="B112" s="130" t="s">
        <v>140</v>
      </c>
      <c r="C112" s="124"/>
      <c r="D112" s="50"/>
      <c r="E112" s="213"/>
      <c r="F112" s="213"/>
      <c r="G112" s="213"/>
      <c r="H112" s="219"/>
      <c r="I112" s="221"/>
      <c r="J112" s="213"/>
      <c r="K112" s="213"/>
      <c r="L112" s="213"/>
      <c r="M112" s="219"/>
      <c r="N112" s="221"/>
      <c r="O112" s="213"/>
      <c r="P112" s="213"/>
      <c r="Q112" s="213"/>
      <c r="R112" s="213"/>
      <c r="S112" s="213"/>
      <c r="T112" s="213"/>
      <c r="U112" s="213"/>
      <c r="V112" s="213"/>
      <c r="W112" s="213"/>
      <c r="X112" s="213"/>
      <c r="Y112" s="91" t="str">
        <f>IF(MAX(E112:X112)&lt;&gt;Hypothèses!D$42,"Incohérence avec l'onglet hypothèses","")</f>
        <v/>
      </c>
    </row>
    <row r="113" spans="1:24" hidden="1" outlineLevel="2" x14ac:dyDescent="0.25">
      <c r="A113" s="557"/>
      <c r="B113" s="89" t="s">
        <v>138</v>
      </c>
      <c r="C113" s="126"/>
      <c r="D113" s="90"/>
      <c r="E113" s="220"/>
      <c r="F113" s="220"/>
      <c r="G113" s="220"/>
      <c r="H113" s="220"/>
      <c r="I113" s="224"/>
      <c r="J113" s="220"/>
      <c r="K113" s="220"/>
      <c r="L113" s="220"/>
      <c r="M113" s="220"/>
      <c r="N113" s="224"/>
      <c r="O113" s="220"/>
      <c r="P113" s="220"/>
      <c r="Q113" s="220"/>
      <c r="R113" s="220"/>
      <c r="S113" s="220"/>
      <c r="T113" s="220"/>
      <c r="U113" s="220"/>
      <c r="V113" s="220"/>
      <c r="W113" s="220"/>
      <c r="X113" s="220"/>
    </row>
    <row r="114" spans="1:24" ht="23.25" hidden="1" customHeight="1" outlineLevel="2" x14ac:dyDescent="0.25">
      <c r="A114" s="197" t="s">
        <v>143</v>
      </c>
      <c r="B114" s="198"/>
      <c r="C114" s="133"/>
      <c r="D114" s="101"/>
      <c r="E114" s="101">
        <f>(E94+E96+E98+E100+E102+E104+E106+E108+E110+E112)/1000</f>
        <v>0</v>
      </c>
      <c r="F114" s="101">
        <f t="shared" ref="F114:X114" si="5">(F94+F96+F98+F100+F102+F104+F106+F108+F110+F112)/1000</f>
        <v>0</v>
      </c>
      <c r="G114" s="101">
        <f t="shared" si="5"/>
        <v>0</v>
      </c>
      <c r="H114" s="101">
        <f t="shared" si="5"/>
        <v>0</v>
      </c>
      <c r="I114" s="101">
        <f t="shared" si="5"/>
        <v>0</v>
      </c>
      <c r="J114" s="101">
        <f t="shared" si="5"/>
        <v>0</v>
      </c>
      <c r="K114" s="101">
        <f t="shared" si="5"/>
        <v>0</v>
      </c>
      <c r="L114" s="101">
        <f t="shared" si="5"/>
        <v>0</v>
      </c>
      <c r="M114" s="101">
        <f t="shared" si="5"/>
        <v>0</v>
      </c>
      <c r="N114" s="101">
        <f t="shared" si="5"/>
        <v>0</v>
      </c>
      <c r="O114" s="101">
        <f t="shared" si="5"/>
        <v>0</v>
      </c>
      <c r="P114" s="101">
        <f t="shared" si="5"/>
        <v>0</v>
      </c>
      <c r="Q114" s="101">
        <f t="shared" si="5"/>
        <v>0</v>
      </c>
      <c r="R114" s="101">
        <f t="shared" si="5"/>
        <v>0</v>
      </c>
      <c r="S114" s="101">
        <f t="shared" si="5"/>
        <v>0</v>
      </c>
      <c r="T114" s="101">
        <f t="shared" si="5"/>
        <v>0</v>
      </c>
      <c r="U114" s="101">
        <f t="shared" si="5"/>
        <v>0</v>
      </c>
      <c r="V114" s="101">
        <f t="shared" si="5"/>
        <v>0</v>
      </c>
      <c r="W114" s="101">
        <f t="shared" si="5"/>
        <v>0</v>
      </c>
      <c r="X114" s="101">
        <f t="shared" si="5"/>
        <v>0</v>
      </c>
    </row>
    <row r="115" spans="1:24" hidden="1" outlineLevel="1" collapsed="1" x14ac:dyDescent="0.25">
      <c r="A115" s="101" t="s">
        <v>229</v>
      </c>
      <c r="B115" s="201"/>
      <c r="C115" s="225" t="s">
        <v>230</v>
      </c>
      <c r="D115" s="212"/>
      <c r="E115" s="212"/>
      <c r="F115" s="212"/>
      <c r="G115" s="212"/>
      <c r="H115" s="212"/>
      <c r="I115" s="212"/>
      <c r="J115" s="212"/>
      <c r="K115" s="212"/>
      <c r="L115" s="212"/>
      <c r="M115" s="212"/>
      <c r="N115" s="212"/>
      <c r="O115" s="212"/>
      <c r="P115" s="212"/>
      <c r="Q115" s="212"/>
      <c r="R115" s="212"/>
      <c r="S115" s="212"/>
      <c r="T115" s="212"/>
      <c r="U115" s="212"/>
      <c r="V115" s="212"/>
      <c r="W115" s="212"/>
      <c r="X115" s="212"/>
    </row>
    <row r="116" spans="1:24" hidden="1" outlineLevel="1" x14ac:dyDescent="0.25">
      <c r="D116" s="53"/>
      <c r="E116" s="41"/>
      <c r="F116" s="41"/>
      <c r="G116" s="41"/>
      <c r="H116" s="41"/>
      <c r="I116" s="41"/>
      <c r="J116" s="41"/>
      <c r="K116" s="41"/>
      <c r="L116" s="41"/>
      <c r="M116" s="41"/>
      <c r="N116" s="41"/>
      <c r="O116" s="41"/>
      <c r="P116" s="41"/>
      <c r="Q116" s="41"/>
      <c r="R116" s="41"/>
      <c r="S116" s="41"/>
      <c r="T116" s="41"/>
      <c r="U116" s="41"/>
      <c r="V116" s="41"/>
      <c r="W116" s="41"/>
      <c r="X116" s="41"/>
    </row>
    <row r="117" spans="1:24" hidden="1" outlineLevel="1" x14ac:dyDescent="0.25">
      <c r="A117" s="95" t="s">
        <v>81</v>
      </c>
      <c r="B117" s="129"/>
      <c r="C117" s="122"/>
      <c r="D117" s="97">
        <f t="shared" ref="D117:X117" si="6">SUM(D121:D123)+D119</f>
        <v>0</v>
      </c>
      <c r="E117" s="97">
        <f t="shared" si="6"/>
        <v>0</v>
      </c>
      <c r="F117" s="97">
        <f t="shared" si="6"/>
        <v>0</v>
      </c>
      <c r="G117" s="97">
        <f t="shared" si="6"/>
        <v>0</v>
      </c>
      <c r="H117" s="97">
        <f t="shared" si="6"/>
        <v>0</v>
      </c>
      <c r="I117" s="97">
        <f t="shared" si="6"/>
        <v>0</v>
      </c>
      <c r="J117" s="97">
        <f t="shared" si="6"/>
        <v>0</v>
      </c>
      <c r="K117" s="97">
        <f t="shared" si="6"/>
        <v>0</v>
      </c>
      <c r="L117" s="97">
        <f t="shared" si="6"/>
        <v>0</v>
      </c>
      <c r="M117" s="97">
        <f t="shared" si="6"/>
        <v>0</v>
      </c>
      <c r="N117" s="97">
        <f t="shared" si="6"/>
        <v>0</v>
      </c>
      <c r="O117" s="97">
        <f t="shared" si="6"/>
        <v>0</v>
      </c>
      <c r="P117" s="97">
        <f t="shared" si="6"/>
        <v>0</v>
      </c>
      <c r="Q117" s="97">
        <f t="shared" si="6"/>
        <v>0</v>
      </c>
      <c r="R117" s="97">
        <f t="shared" si="6"/>
        <v>0</v>
      </c>
      <c r="S117" s="97">
        <f t="shared" si="6"/>
        <v>0</v>
      </c>
      <c r="T117" s="97">
        <f t="shared" si="6"/>
        <v>0</v>
      </c>
      <c r="U117" s="97">
        <f t="shared" si="6"/>
        <v>0</v>
      </c>
      <c r="V117" s="97">
        <f t="shared" si="6"/>
        <v>0</v>
      </c>
      <c r="W117" s="97">
        <f t="shared" si="6"/>
        <v>0</v>
      </c>
      <c r="X117" s="97">
        <f t="shared" si="6"/>
        <v>0</v>
      </c>
    </row>
    <row r="118" spans="1:24" hidden="1" outlineLevel="1" x14ac:dyDescent="0.25">
      <c r="A118" s="558" t="s">
        <v>21</v>
      </c>
      <c r="B118" s="130" t="s">
        <v>84</v>
      </c>
      <c r="C118" s="124"/>
      <c r="D118" s="50"/>
      <c r="E118" s="213"/>
      <c r="F118" s="213"/>
      <c r="G118" s="213"/>
      <c r="H118" s="213"/>
      <c r="I118" s="213"/>
      <c r="J118" s="213"/>
      <c r="K118" s="213"/>
      <c r="L118" s="213"/>
      <c r="M118" s="213"/>
      <c r="N118" s="213"/>
      <c r="O118" s="213"/>
      <c r="P118" s="213"/>
      <c r="Q118" s="213"/>
      <c r="R118" s="213"/>
      <c r="S118" s="213"/>
      <c r="T118" s="213"/>
      <c r="U118" s="213"/>
      <c r="V118" s="213"/>
      <c r="W118" s="213"/>
      <c r="X118" s="213"/>
    </row>
    <row r="119" spans="1:24" hidden="1" outlineLevel="1" x14ac:dyDescent="0.25">
      <c r="A119" s="559"/>
      <c r="B119" s="89" t="s">
        <v>144</v>
      </c>
      <c r="C119" s="127"/>
      <c r="D119" s="48"/>
      <c r="E119" s="52">
        <f>E118*$E$15*(1+IF($E$16&lt;&gt;0,$E$16,$G$16))^(E$21-1)/1000</f>
        <v>0</v>
      </c>
      <c r="F119" s="52">
        <f>F118*$E$15*(1+IF($E$16&lt;&gt;0,$E$16,$G$16))^(F$21-1)/1000</f>
        <v>0</v>
      </c>
      <c r="G119" s="52">
        <f t="shared" ref="G119:X119" si="7">G118*$E$15*(1+IF($E$16&lt;&gt;0,$E$16,$G$16))^(G$21-1)/1000</f>
        <v>0</v>
      </c>
      <c r="H119" s="52">
        <f t="shared" si="7"/>
        <v>0</v>
      </c>
      <c r="I119" s="52">
        <f t="shared" si="7"/>
        <v>0</v>
      </c>
      <c r="J119" s="52">
        <f t="shared" si="7"/>
        <v>0</v>
      </c>
      <c r="K119" s="52">
        <f t="shared" si="7"/>
        <v>0</v>
      </c>
      <c r="L119" s="52">
        <f t="shared" si="7"/>
        <v>0</v>
      </c>
      <c r="M119" s="52">
        <f t="shared" si="7"/>
        <v>0</v>
      </c>
      <c r="N119" s="52">
        <f t="shared" si="7"/>
        <v>0</v>
      </c>
      <c r="O119" s="52">
        <f t="shared" si="7"/>
        <v>0</v>
      </c>
      <c r="P119" s="52">
        <f t="shared" si="7"/>
        <v>0</v>
      </c>
      <c r="Q119" s="52">
        <f t="shared" si="7"/>
        <v>0</v>
      </c>
      <c r="R119" s="52">
        <f t="shared" si="7"/>
        <v>0</v>
      </c>
      <c r="S119" s="52">
        <f t="shared" si="7"/>
        <v>0</v>
      </c>
      <c r="T119" s="52">
        <f t="shared" si="7"/>
        <v>0</v>
      </c>
      <c r="U119" s="52">
        <f t="shared" si="7"/>
        <v>0</v>
      </c>
      <c r="V119" s="52">
        <f t="shared" si="7"/>
        <v>0</v>
      </c>
      <c r="W119" s="52">
        <f t="shared" si="7"/>
        <v>0</v>
      </c>
      <c r="X119" s="52">
        <f t="shared" si="7"/>
        <v>0</v>
      </c>
    </row>
    <row r="120" spans="1:24" hidden="1" outlineLevel="1" x14ac:dyDescent="0.25">
      <c r="A120" s="558" t="s">
        <v>74</v>
      </c>
      <c r="B120" s="130" t="s">
        <v>85</v>
      </c>
      <c r="C120" s="124"/>
      <c r="D120" s="50"/>
      <c r="E120" s="213"/>
      <c r="F120" s="213"/>
      <c r="G120" s="213"/>
      <c r="H120" s="213"/>
      <c r="I120" s="213"/>
      <c r="J120" s="213"/>
      <c r="K120" s="213"/>
      <c r="L120" s="213"/>
      <c r="M120" s="213"/>
      <c r="N120" s="213"/>
      <c r="O120" s="213"/>
      <c r="P120" s="213"/>
      <c r="Q120" s="213"/>
      <c r="R120" s="213"/>
      <c r="S120" s="213"/>
      <c r="T120" s="213"/>
      <c r="U120" s="213"/>
      <c r="V120" s="213"/>
      <c r="W120" s="213"/>
      <c r="X120" s="213"/>
    </row>
    <row r="121" spans="1:24" hidden="1" outlineLevel="1" x14ac:dyDescent="0.25">
      <c r="A121" s="559"/>
      <c r="B121" s="89" t="s">
        <v>144</v>
      </c>
      <c r="C121" s="127"/>
      <c r="D121" s="48"/>
      <c r="E121" s="52">
        <f t="shared" ref="E121:X121" si="8">E120*$E17*(1+$E18)^(E$21-1)/1000</f>
        <v>0</v>
      </c>
      <c r="F121" s="52">
        <f t="shared" si="8"/>
        <v>0</v>
      </c>
      <c r="G121" s="52">
        <f t="shared" si="8"/>
        <v>0</v>
      </c>
      <c r="H121" s="52">
        <f t="shared" si="8"/>
        <v>0</v>
      </c>
      <c r="I121" s="52">
        <f t="shared" si="8"/>
        <v>0</v>
      </c>
      <c r="J121" s="52">
        <f t="shared" si="8"/>
        <v>0</v>
      </c>
      <c r="K121" s="52">
        <f t="shared" si="8"/>
        <v>0</v>
      </c>
      <c r="L121" s="52">
        <f t="shared" si="8"/>
        <v>0</v>
      </c>
      <c r="M121" s="52">
        <f t="shared" si="8"/>
        <v>0</v>
      </c>
      <c r="N121" s="52">
        <f t="shared" si="8"/>
        <v>0</v>
      </c>
      <c r="O121" s="52">
        <f t="shared" si="8"/>
        <v>0</v>
      </c>
      <c r="P121" s="52">
        <f t="shared" si="8"/>
        <v>0</v>
      </c>
      <c r="Q121" s="52">
        <f t="shared" si="8"/>
        <v>0</v>
      </c>
      <c r="R121" s="52">
        <f t="shared" si="8"/>
        <v>0</v>
      </c>
      <c r="S121" s="52">
        <f t="shared" si="8"/>
        <v>0</v>
      </c>
      <c r="T121" s="52">
        <f t="shared" si="8"/>
        <v>0</v>
      </c>
      <c r="U121" s="52">
        <f t="shared" si="8"/>
        <v>0</v>
      </c>
      <c r="V121" s="52">
        <f t="shared" si="8"/>
        <v>0</v>
      </c>
      <c r="W121" s="52">
        <f t="shared" si="8"/>
        <v>0</v>
      </c>
      <c r="X121" s="52">
        <f t="shared" si="8"/>
        <v>0</v>
      </c>
    </row>
    <row r="122" spans="1:24" ht="15" hidden="1" customHeight="1" outlineLevel="1" x14ac:dyDescent="0.25">
      <c r="A122" s="51" t="s">
        <v>193</v>
      </c>
      <c r="B122" s="130"/>
      <c r="C122" s="124"/>
      <c r="D122" s="50"/>
      <c r="E122" s="213"/>
      <c r="F122" s="213"/>
      <c r="G122" s="213"/>
      <c r="H122" s="213"/>
      <c r="I122" s="213"/>
      <c r="J122" s="213"/>
      <c r="K122" s="213"/>
      <c r="L122" s="213"/>
      <c r="M122" s="213"/>
      <c r="N122" s="213"/>
      <c r="O122" s="213"/>
      <c r="P122" s="213"/>
      <c r="Q122" s="213"/>
      <c r="R122" s="213"/>
      <c r="S122" s="213"/>
      <c r="T122" s="213"/>
      <c r="U122" s="213"/>
      <c r="V122" s="213"/>
      <c r="W122" s="213"/>
      <c r="X122" s="213"/>
    </row>
    <row r="123" spans="1:24" hidden="1" outlineLevel="1" x14ac:dyDescent="0.25">
      <c r="A123" s="49" t="s">
        <v>194</v>
      </c>
      <c r="B123" s="134"/>
      <c r="C123" s="127"/>
      <c r="D123" s="48"/>
      <c r="E123" s="226"/>
      <c r="F123" s="226"/>
      <c r="G123" s="226"/>
      <c r="H123" s="226"/>
      <c r="I123" s="226"/>
      <c r="J123" s="226"/>
      <c r="K123" s="226"/>
      <c r="L123" s="226"/>
      <c r="M123" s="226"/>
      <c r="N123" s="226"/>
      <c r="O123" s="226"/>
      <c r="P123" s="226"/>
      <c r="Q123" s="226"/>
      <c r="R123" s="226"/>
      <c r="S123" s="226"/>
      <c r="T123" s="226"/>
      <c r="U123" s="226"/>
      <c r="V123" s="226"/>
      <c r="W123" s="226"/>
      <c r="X123" s="226"/>
    </row>
    <row r="124" spans="1:24" hidden="1" outlineLevel="1" x14ac:dyDescent="0.25">
      <c r="D124" s="41"/>
      <c r="E124" s="41"/>
      <c r="F124" s="41"/>
      <c r="G124" s="41"/>
      <c r="H124" s="41"/>
      <c r="I124" s="41"/>
      <c r="J124" s="41"/>
      <c r="K124" s="41"/>
      <c r="L124" s="41"/>
      <c r="M124" s="41"/>
      <c r="N124" s="41"/>
      <c r="O124" s="41"/>
      <c r="P124" s="41"/>
      <c r="Q124" s="41"/>
      <c r="R124" s="41"/>
      <c r="S124" s="41"/>
      <c r="T124" s="41"/>
      <c r="U124" s="41"/>
      <c r="V124" s="41"/>
      <c r="W124" s="41"/>
      <c r="X124" s="41"/>
    </row>
    <row r="125" spans="1:24" hidden="1" outlineLevel="1" x14ac:dyDescent="0.25">
      <c r="A125" s="95" t="s">
        <v>80</v>
      </c>
      <c r="B125" s="129"/>
      <c r="C125" s="122"/>
      <c r="D125" s="97">
        <f t="shared" ref="D125:X125" si="9">D28-D117</f>
        <v>0</v>
      </c>
      <c r="E125" s="97">
        <f t="shared" si="9"/>
        <v>0</v>
      </c>
      <c r="F125" s="97">
        <f t="shared" si="9"/>
        <v>0</v>
      </c>
      <c r="G125" s="97">
        <f t="shared" si="9"/>
        <v>0</v>
      </c>
      <c r="H125" s="97">
        <f t="shared" si="9"/>
        <v>0</v>
      </c>
      <c r="I125" s="97">
        <f t="shared" si="9"/>
        <v>0</v>
      </c>
      <c r="J125" s="97">
        <f t="shared" si="9"/>
        <v>0</v>
      </c>
      <c r="K125" s="97">
        <f t="shared" si="9"/>
        <v>0</v>
      </c>
      <c r="L125" s="97">
        <f t="shared" si="9"/>
        <v>0</v>
      </c>
      <c r="M125" s="97">
        <f t="shared" si="9"/>
        <v>0</v>
      </c>
      <c r="N125" s="97">
        <f t="shared" si="9"/>
        <v>0</v>
      </c>
      <c r="O125" s="97">
        <f t="shared" si="9"/>
        <v>0</v>
      </c>
      <c r="P125" s="97">
        <f t="shared" si="9"/>
        <v>0</v>
      </c>
      <c r="Q125" s="97">
        <f t="shared" si="9"/>
        <v>0</v>
      </c>
      <c r="R125" s="97">
        <f t="shared" si="9"/>
        <v>0</v>
      </c>
      <c r="S125" s="97">
        <f t="shared" si="9"/>
        <v>0</v>
      </c>
      <c r="T125" s="97">
        <f t="shared" si="9"/>
        <v>0</v>
      </c>
      <c r="U125" s="97">
        <f t="shared" si="9"/>
        <v>0</v>
      </c>
      <c r="V125" s="97">
        <f t="shared" si="9"/>
        <v>0</v>
      </c>
      <c r="W125" s="97">
        <f t="shared" si="9"/>
        <v>0</v>
      </c>
      <c r="X125" s="97">
        <f t="shared" si="9"/>
        <v>0</v>
      </c>
    </row>
    <row r="126" spans="1:24" s="46" customFormat="1" hidden="1" outlineLevel="1" x14ac:dyDescent="0.25">
      <c r="D126" s="47"/>
      <c r="E126" s="47"/>
      <c r="F126" s="47"/>
      <c r="G126" s="47"/>
      <c r="H126" s="47"/>
      <c r="I126" s="47"/>
      <c r="J126" s="47"/>
      <c r="K126" s="47"/>
      <c r="L126" s="47"/>
      <c r="M126" s="47"/>
      <c r="N126" s="47"/>
      <c r="O126" s="47"/>
      <c r="P126" s="47"/>
      <c r="Q126" s="47"/>
      <c r="R126" s="47"/>
      <c r="S126" s="47"/>
      <c r="T126" s="47"/>
      <c r="U126" s="47"/>
      <c r="V126" s="47"/>
      <c r="W126" s="47"/>
      <c r="X126" s="47"/>
    </row>
    <row r="127" spans="1:24" hidden="1" outlineLevel="1" x14ac:dyDescent="0.25">
      <c r="A127" s="45" t="s">
        <v>198</v>
      </c>
      <c r="B127" s="135"/>
      <c r="C127" s="227">
        <v>10</v>
      </c>
      <c r="D127" s="211"/>
      <c r="E127" s="211"/>
      <c r="F127" s="211"/>
      <c r="G127" s="211"/>
      <c r="H127" s="211"/>
      <c r="I127" s="211"/>
      <c r="J127" s="211"/>
      <c r="K127" s="211"/>
      <c r="L127" s="211"/>
      <c r="M127" s="211"/>
      <c r="N127" s="228"/>
      <c r="O127" s="211"/>
      <c r="P127" s="228"/>
      <c r="Q127" s="211"/>
      <c r="R127" s="211"/>
      <c r="S127" s="211"/>
      <c r="T127" s="211"/>
      <c r="U127" s="211"/>
      <c r="V127" s="211"/>
      <c r="W127" s="211"/>
      <c r="X127" s="211"/>
    </row>
    <row r="128" spans="1:24" hidden="1" outlineLevel="1" x14ac:dyDescent="0.25">
      <c r="D128" s="41"/>
      <c r="E128" s="41"/>
      <c r="F128" s="41"/>
      <c r="G128" s="41"/>
      <c r="H128" s="41"/>
      <c r="I128" s="41"/>
      <c r="J128" s="41"/>
      <c r="K128" s="41"/>
      <c r="L128" s="41"/>
      <c r="M128" s="41"/>
      <c r="N128" s="41"/>
      <c r="O128" s="41"/>
      <c r="P128" s="41"/>
      <c r="Q128" s="41"/>
      <c r="R128" s="41"/>
      <c r="S128" s="41"/>
      <c r="T128" s="41"/>
      <c r="U128" s="41"/>
      <c r="V128" s="41"/>
      <c r="W128" s="41"/>
      <c r="X128" s="41"/>
    </row>
    <row r="129" spans="1:24" hidden="1" outlineLevel="1" x14ac:dyDescent="0.25">
      <c r="A129" s="95" t="s">
        <v>79</v>
      </c>
      <c r="B129" s="129"/>
      <c r="C129" s="122"/>
      <c r="D129" s="97">
        <f>D125-D127</f>
        <v>0</v>
      </c>
      <c r="E129" s="97">
        <f t="shared" ref="E129:X129" si="10">E125-E127</f>
        <v>0</v>
      </c>
      <c r="F129" s="97">
        <f t="shared" si="10"/>
        <v>0</v>
      </c>
      <c r="G129" s="97">
        <f t="shared" si="10"/>
        <v>0</v>
      </c>
      <c r="H129" s="97">
        <f t="shared" si="10"/>
        <v>0</v>
      </c>
      <c r="I129" s="97">
        <f t="shared" si="10"/>
        <v>0</v>
      </c>
      <c r="J129" s="97">
        <f t="shared" si="10"/>
        <v>0</v>
      </c>
      <c r="K129" s="97">
        <f t="shared" si="10"/>
        <v>0</v>
      </c>
      <c r="L129" s="97">
        <f t="shared" si="10"/>
        <v>0</v>
      </c>
      <c r="M129" s="97">
        <f t="shared" si="10"/>
        <v>0</v>
      </c>
      <c r="N129" s="97">
        <f t="shared" si="10"/>
        <v>0</v>
      </c>
      <c r="O129" s="97">
        <f t="shared" si="10"/>
        <v>0</v>
      </c>
      <c r="P129" s="97">
        <f t="shared" si="10"/>
        <v>0</v>
      </c>
      <c r="Q129" s="97">
        <f t="shared" si="10"/>
        <v>0</v>
      </c>
      <c r="R129" s="97">
        <f t="shared" si="10"/>
        <v>0</v>
      </c>
      <c r="S129" s="97">
        <f t="shared" si="10"/>
        <v>0</v>
      </c>
      <c r="T129" s="97">
        <f t="shared" si="10"/>
        <v>0</v>
      </c>
      <c r="U129" s="97">
        <f t="shared" si="10"/>
        <v>0</v>
      </c>
      <c r="V129" s="97">
        <f t="shared" si="10"/>
        <v>0</v>
      </c>
      <c r="W129" s="97">
        <f t="shared" si="10"/>
        <v>0</v>
      </c>
      <c r="X129" s="97">
        <f t="shared" si="10"/>
        <v>0</v>
      </c>
    </row>
    <row r="130" spans="1:24" hidden="1" outlineLevel="1" x14ac:dyDescent="0.25">
      <c r="A130" s="45" t="s">
        <v>78</v>
      </c>
      <c r="B130" s="135"/>
      <c r="C130" s="103"/>
      <c r="D130" s="58">
        <f>D129*IF($E$14&lt;&gt;0,$E$14,$G$14)</f>
        <v>0</v>
      </c>
      <c r="E130" s="58">
        <f t="shared" ref="E130:X130" si="11">E129*IF($E$14&lt;&gt;0,$E$14,$G$14)</f>
        <v>0</v>
      </c>
      <c r="F130" s="58">
        <f t="shared" si="11"/>
        <v>0</v>
      </c>
      <c r="G130" s="58">
        <f t="shared" si="11"/>
        <v>0</v>
      </c>
      <c r="H130" s="58">
        <f t="shared" si="11"/>
        <v>0</v>
      </c>
      <c r="I130" s="58">
        <f t="shared" si="11"/>
        <v>0</v>
      </c>
      <c r="J130" s="58">
        <f t="shared" si="11"/>
        <v>0</v>
      </c>
      <c r="K130" s="58">
        <f t="shared" si="11"/>
        <v>0</v>
      </c>
      <c r="L130" s="58">
        <f t="shared" si="11"/>
        <v>0</v>
      </c>
      <c r="M130" s="58">
        <f t="shared" si="11"/>
        <v>0</v>
      </c>
      <c r="N130" s="58">
        <f t="shared" si="11"/>
        <v>0</v>
      </c>
      <c r="O130" s="58">
        <f t="shared" si="11"/>
        <v>0</v>
      </c>
      <c r="P130" s="58">
        <f t="shared" si="11"/>
        <v>0</v>
      </c>
      <c r="Q130" s="58">
        <f t="shared" si="11"/>
        <v>0</v>
      </c>
      <c r="R130" s="58">
        <f t="shared" si="11"/>
        <v>0</v>
      </c>
      <c r="S130" s="58">
        <f t="shared" si="11"/>
        <v>0</v>
      </c>
      <c r="T130" s="58">
        <f t="shared" si="11"/>
        <v>0</v>
      </c>
      <c r="U130" s="58">
        <f t="shared" si="11"/>
        <v>0</v>
      </c>
      <c r="V130" s="58">
        <f t="shared" si="11"/>
        <v>0</v>
      </c>
      <c r="W130" s="58">
        <f t="shared" si="11"/>
        <v>0</v>
      </c>
      <c r="X130" s="58">
        <f t="shared" si="11"/>
        <v>0</v>
      </c>
    </row>
    <row r="131" spans="1:24" hidden="1" outlineLevel="1" x14ac:dyDescent="0.25">
      <c r="D131" s="41"/>
      <c r="E131" s="41"/>
      <c r="F131" s="41"/>
      <c r="G131" s="41"/>
      <c r="H131" s="41"/>
      <c r="I131" s="41"/>
      <c r="J131" s="41"/>
      <c r="K131" s="41"/>
      <c r="L131" s="41"/>
      <c r="M131" s="41"/>
      <c r="N131" s="41"/>
      <c r="O131" s="41"/>
      <c r="P131" s="41"/>
      <c r="Q131" s="41"/>
      <c r="R131" s="41"/>
      <c r="S131" s="41"/>
      <c r="T131" s="41"/>
      <c r="U131" s="41"/>
      <c r="V131" s="41"/>
      <c r="W131" s="41"/>
      <c r="X131" s="41"/>
    </row>
    <row r="132" spans="1:24" hidden="1" outlineLevel="1" x14ac:dyDescent="0.25">
      <c r="A132" s="95" t="s">
        <v>89</v>
      </c>
      <c r="B132" s="129"/>
      <c r="C132" s="122"/>
      <c r="D132" s="97">
        <f t="shared" ref="D132:X132" si="12">D125-D130-D23</f>
        <v>0</v>
      </c>
      <c r="E132" s="97">
        <f t="shared" si="12"/>
        <v>0</v>
      </c>
      <c r="F132" s="97">
        <f t="shared" si="12"/>
        <v>0</v>
      </c>
      <c r="G132" s="97">
        <f t="shared" si="12"/>
        <v>0</v>
      </c>
      <c r="H132" s="97">
        <f t="shared" si="12"/>
        <v>0</v>
      </c>
      <c r="I132" s="97">
        <f t="shared" si="12"/>
        <v>0</v>
      </c>
      <c r="J132" s="97">
        <f t="shared" si="12"/>
        <v>0</v>
      </c>
      <c r="K132" s="97">
        <f t="shared" si="12"/>
        <v>0</v>
      </c>
      <c r="L132" s="97">
        <f t="shared" si="12"/>
        <v>0</v>
      </c>
      <c r="M132" s="97">
        <f t="shared" si="12"/>
        <v>0</v>
      </c>
      <c r="N132" s="97">
        <f t="shared" si="12"/>
        <v>0</v>
      </c>
      <c r="O132" s="97">
        <f t="shared" si="12"/>
        <v>0</v>
      </c>
      <c r="P132" s="97">
        <f t="shared" si="12"/>
        <v>0</v>
      </c>
      <c r="Q132" s="97">
        <f t="shared" si="12"/>
        <v>0</v>
      </c>
      <c r="R132" s="97">
        <f t="shared" si="12"/>
        <v>0</v>
      </c>
      <c r="S132" s="97">
        <f t="shared" si="12"/>
        <v>0</v>
      </c>
      <c r="T132" s="97">
        <f t="shared" si="12"/>
        <v>0</v>
      </c>
      <c r="U132" s="97">
        <f t="shared" si="12"/>
        <v>0</v>
      </c>
      <c r="V132" s="97">
        <f t="shared" si="12"/>
        <v>0</v>
      </c>
      <c r="W132" s="97">
        <f t="shared" si="12"/>
        <v>0</v>
      </c>
      <c r="X132" s="97">
        <f t="shared" si="12"/>
        <v>0</v>
      </c>
    </row>
    <row r="133" spans="1:24" hidden="1" outlineLevel="1" x14ac:dyDescent="0.25">
      <c r="D133" s="41"/>
      <c r="E133" s="41"/>
      <c r="F133" s="41"/>
      <c r="G133" s="41"/>
      <c r="H133" s="41"/>
      <c r="I133" s="41"/>
      <c r="J133" s="41"/>
      <c r="K133" s="41"/>
      <c r="L133" s="41"/>
      <c r="M133" s="41"/>
      <c r="N133" s="41"/>
      <c r="O133" s="41"/>
      <c r="P133" s="41"/>
      <c r="Q133" s="41"/>
      <c r="R133" s="41"/>
      <c r="S133" s="41"/>
      <c r="T133" s="41"/>
      <c r="U133" s="41"/>
      <c r="V133" s="41"/>
      <c r="W133" s="41"/>
      <c r="X133" s="41"/>
    </row>
    <row r="134" spans="1:24" hidden="1" outlineLevel="1" x14ac:dyDescent="0.25">
      <c r="A134" s="44" t="s">
        <v>77</v>
      </c>
      <c r="B134" s="136"/>
      <c r="C134" s="128"/>
      <c r="D134" s="43" t="e">
        <f>IRR(D132:X132)</f>
        <v>#NUM!</v>
      </c>
      <c r="E134" s="42"/>
      <c r="F134" s="41"/>
      <c r="G134" s="41"/>
      <c r="H134" s="41"/>
      <c r="I134" s="41"/>
      <c r="J134" s="41"/>
      <c r="K134" s="41"/>
      <c r="L134" s="41"/>
      <c r="M134" s="41"/>
      <c r="N134" s="41"/>
      <c r="O134" s="41"/>
      <c r="P134" s="41"/>
      <c r="Q134" s="41"/>
      <c r="R134" s="41"/>
      <c r="S134" s="41"/>
      <c r="T134" s="41"/>
      <c r="U134" s="41"/>
      <c r="V134" s="41"/>
      <c r="W134" s="41"/>
      <c r="X134" s="41"/>
    </row>
    <row r="135" spans="1:24" ht="15.75" collapsed="1" thickBot="1" x14ac:dyDescent="0.3">
      <c r="D135" s="41"/>
      <c r="E135" s="41"/>
      <c r="F135" s="41"/>
      <c r="G135" s="41"/>
      <c r="H135" s="41"/>
      <c r="I135" s="41"/>
      <c r="J135" s="41"/>
      <c r="K135" s="41"/>
      <c r="L135" s="41"/>
      <c r="M135" s="41"/>
      <c r="N135" s="41"/>
      <c r="O135" s="41"/>
      <c r="P135" s="41"/>
      <c r="Q135" s="41"/>
      <c r="R135" s="41"/>
      <c r="S135" s="41"/>
      <c r="T135" s="41"/>
      <c r="U135" s="41"/>
      <c r="V135" s="41"/>
      <c r="W135" s="41"/>
      <c r="X135" s="41"/>
    </row>
    <row r="136" spans="1:24" s="265" customFormat="1" ht="39" customHeight="1" thickBot="1" x14ac:dyDescent="0.3">
      <c r="A136" s="260" t="s">
        <v>181</v>
      </c>
      <c r="B136" s="261"/>
      <c r="C136" s="261"/>
      <c r="D136" s="580" t="s">
        <v>179</v>
      </c>
      <c r="E136" s="581"/>
      <c r="F136" s="261"/>
      <c r="G136" s="263"/>
      <c r="H136" s="263"/>
      <c r="I136" s="263"/>
      <c r="J136" s="263"/>
      <c r="K136" s="262"/>
      <c r="L136" s="262"/>
      <c r="M136" s="262"/>
      <c r="N136" s="262"/>
      <c r="O136" s="262"/>
      <c r="P136" s="262"/>
      <c r="Q136" s="262"/>
      <c r="R136" s="262"/>
      <c r="S136" s="262"/>
      <c r="T136" s="262"/>
      <c r="U136" s="262"/>
      <c r="V136" s="262"/>
      <c r="W136" s="262"/>
      <c r="X136" s="262"/>
    </row>
    <row r="137" spans="1:24" ht="15.75" hidden="1" outlineLevel="1" thickBot="1" x14ac:dyDescent="0.3">
      <c r="G137" s="121" t="s">
        <v>195</v>
      </c>
    </row>
    <row r="138" spans="1:24" hidden="1" outlineLevel="1" x14ac:dyDescent="0.25">
      <c r="A138" s="561" t="s">
        <v>183</v>
      </c>
      <c r="B138" s="564" t="s">
        <v>238</v>
      </c>
      <c r="C138" s="564"/>
      <c r="D138" s="564"/>
      <c r="E138" s="588"/>
      <c r="F138" s="589"/>
      <c r="G138" s="119"/>
    </row>
    <row r="139" spans="1:24" hidden="1" outlineLevel="1" x14ac:dyDescent="0.25">
      <c r="A139" s="562"/>
      <c r="B139" s="575" t="s">
        <v>73</v>
      </c>
      <c r="C139" s="575"/>
      <c r="D139" s="575"/>
      <c r="E139" s="590"/>
      <c r="F139" s="591"/>
      <c r="G139" s="120">
        <v>0.28000000000000003</v>
      </c>
    </row>
    <row r="140" spans="1:24" hidden="1" outlineLevel="1" x14ac:dyDescent="0.25">
      <c r="A140" s="562"/>
      <c r="B140" s="575" t="s">
        <v>184</v>
      </c>
      <c r="C140" s="575"/>
      <c r="D140" s="575"/>
      <c r="E140" s="592"/>
      <c r="F140" s="593"/>
      <c r="G140" s="116"/>
    </row>
    <row r="141" spans="1:24" hidden="1" outlineLevel="1" x14ac:dyDescent="0.25">
      <c r="A141" s="562"/>
      <c r="B141" s="575" t="s">
        <v>185</v>
      </c>
      <c r="C141" s="575"/>
      <c r="D141" s="575"/>
      <c r="E141" s="590"/>
      <c r="F141" s="591"/>
      <c r="G141" s="117">
        <f>Sources!C$10</f>
        <v>1.9400000000000001E-2</v>
      </c>
    </row>
    <row r="142" spans="1:24" hidden="1" outlineLevel="1" x14ac:dyDescent="0.25">
      <c r="A142" s="562"/>
      <c r="B142" s="575" t="s">
        <v>186</v>
      </c>
      <c r="C142" s="575"/>
      <c r="D142" s="575"/>
      <c r="E142" s="594"/>
      <c r="F142" s="595"/>
      <c r="G142" s="116"/>
    </row>
    <row r="143" spans="1:24" hidden="1" outlineLevel="1" x14ac:dyDescent="0.25">
      <c r="A143" s="562"/>
      <c r="B143" s="575" t="s">
        <v>187</v>
      </c>
      <c r="C143" s="575"/>
      <c r="D143" s="575"/>
      <c r="E143" s="576"/>
      <c r="F143" s="577"/>
      <c r="G143" s="116"/>
    </row>
    <row r="144" spans="1:24" ht="15.75" hidden="1" outlineLevel="1" thickBot="1" x14ac:dyDescent="0.3">
      <c r="A144" s="563"/>
      <c r="B144" s="560" t="s">
        <v>191</v>
      </c>
      <c r="C144" s="560"/>
      <c r="D144" s="560"/>
      <c r="E144" s="578"/>
      <c r="F144" s="579"/>
      <c r="G144" s="118"/>
    </row>
    <row r="145" spans="1:25" hidden="1" outlineLevel="1" x14ac:dyDescent="0.25"/>
    <row r="146" spans="1:25" hidden="1" outlineLevel="1" x14ac:dyDescent="0.25">
      <c r="A146" s="95" t="s">
        <v>82</v>
      </c>
      <c r="B146" s="129"/>
      <c r="C146" s="122"/>
      <c r="D146" s="96">
        <v>0</v>
      </c>
      <c r="E146" s="96">
        <v>1</v>
      </c>
      <c r="F146" s="96">
        <v>2</v>
      </c>
      <c r="G146" s="96">
        <v>3</v>
      </c>
      <c r="H146" s="96">
        <v>4</v>
      </c>
      <c r="I146" s="96">
        <v>5</v>
      </c>
      <c r="J146" s="96">
        <v>6</v>
      </c>
      <c r="K146" s="96">
        <v>7</v>
      </c>
      <c r="L146" s="96">
        <v>8</v>
      </c>
      <c r="M146" s="96">
        <v>9</v>
      </c>
      <c r="N146" s="96">
        <v>10</v>
      </c>
      <c r="O146" s="96">
        <v>11</v>
      </c>
      <c r="P146" s="96">
        <v>12</v>
      </c>
      <c r="Q146" s="96">
        <v>13</v>
      </c>
      <c r="R146" s="96">
        <v>14</v>
      </c>
      <c r="S146" s="96">
        <v>15</v>
      </c>
      <c r="T146" s="96">
        <v>16</v>
      </c>
      <c r="U146" s="96">
        <v>17</v>
      </c>
      <c r="V146" s="96">
        <v>18</v>
      </c>
      <c r="W146" s="96">
        <v>19</v>
      </c>
      <c r="X146" s="96">
        <v>20</v>
      </c>
    </row>
    <row r="147" spans="1:25" hidden="1" outlineLevel="1" x14ac:dyDescent="0.25"/>
    <row r="148" spans="1:25" s="149" customFormat="1" hidden="1" outlineLevel="1" x14ac:dyDescent="0.25">
      <c r="A148" s="95" t="s">
        <v>205</v>
      </c>
      <c r="B148" s="146"/>
      <c r="C148" s="147">
        <f>C149-C150-C151</f>
        <v>0</v>
      </c>
      <c r="D148" s="97">
        <f>D149-D150-D151</f>
        <v>0</v>
      </c>
      <c r="E148" s="97">
        <f t="shared" ref="E148" si="13">E149-E150-E151</f>
        <v>0</v>
      </c>
      <c r="F148" s="97">
        <f t="shared" ref="F148" si="14">F149-F150-F151</f>
        <v>0</v>
      </c>
      <c r="G148" s="97">
        <f t="shared" ref="G148" si="15">G149-G150-G151</f>
        <v>0</v>
      </c>
      <c r="H148" s="97">
        <f t="shared" ref="H148" si="16">H149-H150-H151</f>
        <v>0</v>
      </c>
      <c r="I148" s="97">
        <f t="shared" ref="I148" si="17">I149-I150-I151</f>
        <v>0</v>
      </c>
      <c r="J148" s="97">
        <f t="shared" ref="J148" si="18">J149-J150-J151</f>
        <v>0</v>
      </c>
      <c r="K148" s="97">
        <f t="shared" ref="K148" si="19">K149-K150-K151</f>
        <v>0</v>
      </c>
      <c r="L148" s="97">
        <f t="shared" ref="L148" si="20">L149-L150-L151</f>
        <v>0</v>
      </c>
      <c r="M148" s="97">
        <f t="shared" ref="M148" si="21">M149-M150-M151</f>
        <v>0</v>
      </c>
      <c r="N148" s="97">
        <f t="shared" ref="N148" si="22">N149-N150-N151</f>
        <v>0</v>
      </c>
      <c r="O148" s="97">
        <f t="shared" ref="O148" si="23">O149-O150-O151</f>
        <v>0</v>
      </c>
      <c r="P148" s="97">
        <f t="shared" ref="P148" si="24">P149-P150-P151</f>
        <v>0</v>
      </c>
      <c r="Q148" s="97">
        <f t="shared" ref="Q148" si="25">Q149-Q150-Q151</f>
        <v>0</v>
      </c>
      <c r="R148" s="97">
        <f t="shared" ref="R148" si="26">R149-R150-R151</f>
        <v>0</v>
      </c>
      <c r="S148" s="97">
        <f t="shared" ref="S148" si="27">S149-S150-S151</f>
        <v>0</v>
      </c>
      <c r="T148" s="97">
        <f t="shared" ref="T148" si="28">T149-T150-T151</f>
        <v>0</v>
      </c>
      <c r="U148" s="97">
        <f t="shared" ref="U148" si="29">U149-U150-U151</f>
        <v>0</v>
      </c>
      <c r="V148" s="97">
        <f t="shared" ref="V148" si="30">V149-V150-V151</f>
        <v>0</v>
      </c>
      <c r="W148" s="97">
        <f t="shared" ref="W148" si="31">W149-W150-W151</f>
        <v>0</v>
      </c>
      <c r="X148" s="97">
        <f t="shared" ref="X148" si="32">X149-X150-X151</f>
        <v>0</v>
      </c>
      <c r="Y148" s="148"/>
    </row>
    <row r="149" spans="1:25" hidden="1" outlineLevel="1" x14ac:dyDescent="0.25">
      <c r="A149" s="45" t="s">
        <v>206</v>
      </c>
      <c r="B149" s="137"/>
      <c r="C149" s="138">
        <f>SUM(D149:X149)</f>
        <v>0</v>
      </c>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91"/>
    </row>
    <row r="150" spans="1:25" hidden="1" outlineLevel="1" x14ac:dyDescent="0.25">
      <c r="A150" s="102" t="s">
        <v>145</v>
      </c>
      <c r="B150" s="137"/>
      <c r="C150" s="138">
        <f>SUM(D150:X150)</f>
        <v>0</v>
      </c>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91"/>
    </row>
    <row r="151" spans="1:25" hidden="1" outlineLevel="1" x14ac:dyDescent="0.25">
      <c r="A151" s="45" t="s">
        <v>146</v>
      </c>
      <c r="B151" s="135"/>
      <c r="C151" s="138">
        <f>SUM(D151:X151)</f>
        <v>0</v>
      </c>
      <c r="D151" s="211"/>
      <c r="E151" s="211"/>
      <c r="F151" s="211"/>
      <c r="G151" s="211"/>
      <c r="H151" s="211"/>
      <c r="I151" s="211"/>
      <c r="J151" s="211"/>
      <c r="K151" s="211"/>
      <c r="L151" s="211"/>
      <c r="M151" s="211"/>
      <c r="N151" s="211"/>
      <c r="O151" s="211"/>
      <c r="P151" s="211"/>
      <c r="Q151" s="211"/>
      <c r="R151" s="211"/>
      <c r="S151" s="211"/>
      <c r="T151" s="211"/>
      <c r="U151" s="211"/>
      <c r="V151" s="211"/>
      <c r="W151" s="211"/>
      <c r="X151" s="211"/>
    </row>
    <row r="152" spans="1:25" hidden="1" outlineLevel="1" x14ac:dyDescent="0.25">
      <c r="D152" s="54"/>
      <c r="E152" s="54"/>
      <c r="F152" s="54"/>
      <c r="G152" s="54"/>
      <c r="H152" s="54"/>
      <c r="I152" s="54"/>
      <c r="J152" s="54"/>
      <c r="K152" s="54"/>
      <c r="L152" s="54"/>
      <c r="M152" s="54"/>
      <c r="N152" s="54"/>
      <c r="O152" s="54"/>
      <c r="P152" s="54"/>
      <c r="Q152" s="54"/>
      <c r="R152" s="54"/>
      <c r="S152" s="54"/>
      <c r="T152" s="54"/>
      <c r="U152" s="54"/>
      <c r="V152" s="54"/>
      <c r="W152" s="54"/>
      <c r="X152" s="54"/>
    </row>
    <row r="153" spans="1:25" hidden="1" outlineLevel="1" x14ac:dyDescent="0.25">
      <c r="A153" s="95" t="s">
        <v>138</v>
      </c>
      <c r="B153" s="129"/>
      <c r="C153" s="122"/>
      <c r="D153" s="97">
        <f>D154+D158+D180</f>
        <v>0</v>
      </c>
      <c r="E153" s="97">
        <f t="shared" ref="E153:X153" si="33">E154+E158+E180</f>
        <v>0</v>
      </c>
      <c r="F153" s="97">
        <f t="shared" si="33"/>
        <v>0</v>
      </c>
      <c r="G153" s="97">
        <f t="shared" si="33"/>
        <v>0</v>
      </c>
      <c r="H153" s="97">
        <f t="shared" si="33"/>
        <v>0</v>
      </c>
      <c r="I153" s="97">
        <f t="shared" si="33"/>
        <v>0</v>
      </c>
      <c r="J153" s="97">
        <f t="shared" si="33"/>
        <v>0</v>
      </c>
      <c r="K153" s="97">
        <f t="shared" si="33"/>
        <v>0</v>
      </c>
      <c r="L153" s="97">
        <f t="shared" si="33"/>
        <v>0</v>
      </c>
      <c r="M153" s="97">
        <f t="shared" si="33"/>
        <v>0</v>
      </c>
      <c r="N153" s="97">
        <f t="shared" si="33"/>
        <v>0</v>
      </c>
      <c r="O153" s="97">
        <f t="shared" si="33"/>
        <v>0</v>
      </c>
      <c r="P153" s="97">
        <f t="shared" si="33"/>
        <v>0</v>
      </c>
      <c r="Q153" s="97">
        <f t="shared" si="33"/>
        <v>0</v>
      </c>
      <c r="R153" s="97">
        <f t="shared" si="33"/>
        <v>0</v>
      </c>
      <c r="S153" s="97">
        <f t="shared" si="33"/>
        <v>0</v>
      </c>
      <c r="T153" s="97">
        <f t="shared" si="33"/>
        <v>0</v>
      </c>
      <c r="U153" s="97">
        <f t="shared" si="33"/>
        <v>0</v>
      </c>
      <c r="V153" s="97">
        <f t="shared" si="33"/>
        <v>0</v>
      </c>
      <c r="W153" s="97">
        <f t="shared" si="33"/>
        <v>0</v>
      </c>
      <c r="X153" s="97">
        <f t="shared" si="33"/>
        <v>0</v>
      </c>
    </row>
    <row r="154" spans="1:25" ht="25.5" hidden="1" customHeight="1" outlineLevel="1" x14ac:dyDescent="0.25">
      <c r="A154" s="92" t="s">
        <v>139</v>
      </c>
      <c r="B154" s="93"/>
      <c r="C154" s="123"/>
      <c r="D154" s="94">
        <f>D156</f>
        <v>0</v>
      </c>
      <c r="E154" s="94">
        <f t="shared" ref="E154:X154" si="34">E156</f>
        <v>0</v>
      </c>
      <c r="F154" s="94">
        <f t="shared" si="34"/>
        <v>0</v>
      </c>
      <c r="G154" s="94">
        <f t="shared" si="34"/>
        <v>0</v>
      </c>
      <c r="H154" s="94">
        <f t="shared" si="34"/>
        <v>0</v>
      </c>
      <c r="I154" s="94">
        <f t="shared" si="34"/>
        <v>0</v>
      </c>
      <c r="J154" s="94">
        <f t="shared" si="34"/>
        <v>0</v>
      </c>
      <c r="K154" s="94">
        <f t="shared" si="34"/>
        <v>0</v>
      </c>
      <c r="L154" s="94">
        <f t="shared" si="34"/>
        <v>0</v>
      </c>
      <c r="M154" s="94">
        <f t="shared" si="34"/>
        <v>0</v>
      </c>
      <c r="N154" s="94">
        <f t="shared" si="34"/>
        <v>0</v>
      </c>
      <c r="O154" s="94">
        <f t="shared" si="34"/>
        <v>0</v>
      </c>
      <c r="P154" s="94">
        <f t="shared" si="34"/>
        <v>0</v>
      </c>
      <c r="Q154" s="94">
        <f t="shared" si="34"/>
        <v>0</v>
      </c>
      <c r="R154" s="94">
        <f t="shared" si="34"/>
        <v>0</v>
      </c>
      <c r="S154" s="94">
        <f t="shared" si="34"/>
        <v>0</v>
      </c>
      <c r="T154" s="94">
        <f t="shared" si="34"/>
        <v>0</v>
      </c>
      <c r="U154" s="94">
        <f t="shared" si="34"/>
        <v>0</v>
      </c>
      <c r="V154" s="94">
        <f t="shared" si="34"/>
        <v>0</v>
      </c>
      <c r="W154" s="94">
        <f t="shared" si="34"/>
        <v>0</v>
      </c>
      <c r="X154" s="94">
        <f t="shared" si="34"/>
        <v>0</v>
      </c>
    </row>
    <row r="155" spans="1:25" hidden="1" outlineLevel="2" x14ac:dyDescent="0.25">
      <c r="A155" s="573" t="s">
        <v>140</v>
      </c>
      <c r="B155" s="608"/>
      <c r="C155" s="574"/>
      <c r="D155" s="50"/>
      <c r="E155" s="213"/>
      <c r="F155" s="213"/>
      <c r="G155" s="213"/>
      <c r="H155" s="213"/>
      <c r="I155" s="213"/>
      <c r="J155" s="213"/>
      <c r="K155" s="214"/>
      <c r="L155" s="213"/>
      <c r="M155" s="213"/>
      <c r="N155" s="213"/>
      <c r="O155" s="213"/>
      <c r="P155" s="213"/>
      <c r="Q155" s="213"/>
      <c r="R155" s="213"/>
      <c r="S155" s="213"/>
      <c r="T155" s="213"/>
      <c r="U155" s="213"/>
      <c r="V155" s="213"/>
      <c r="W155" s="213"/>
      <c r="X155" s="215"/>
    </row>
    <row r="156" spans="1:25" hidden="1" outlineLevel="2" x14ac:dyDescent="0.25">
      <c r="A156" s="609" t="s">
        <v>138</v>
      </c>
      <c r="B156" s="610"/>
      <c r="C156" s="611"/>
      <c r="D156" s="56"/>
      <c r="E156" s="216"/>
      <c r="F156" s="216"/>
      <c r="G156" s="216"/>
      <c r="H156" s="216"/>
      <c r="I156" s="216"/>
      <c r="J156" s="216"/>
      <c r="K156" s="216"/>
      <c r="L156" s="216"/>
      <c r="M156" s="216"/>
      <c r="N156" s="216"/>
      <c r="O156" s="216"/>
      <c r="P156" s="216"/>
      <c r="Q156" s="216"/>
      <c r="R156" s="216"/>
      <c r="S156" s="216"/>
      <c r="T156" s="216"/>
      <c r="U156" s="216"/>
      <c r="V156" s="216"/>
      <c r="W156" s="216"/>
      <c r="X156" s="217"/>
    </row>
    <row r="157" spans="1:25" hidden="1" outlineLevel="2" x14ac:dyDescent="0.25">
      <c r="A157" s="586" t="s">
        <v>142</v>
      </c>
      <c r="B157" s="587"/>
      <c r="C157" s="202"/>
      <c r="D157" s="99"/>
      <c r="E157" s="99">
        <f>(E155)/1000</f>
        <v>0</v>
      </c>
      <c r="F157" s="99">
        <f t="shared" ref="F157:X157" si="35">(F155)/1000</f>
        <v>0</v>
      </c>
      <c r="G157" s="99">
        <f t="shared" si="35"/>
        <v>0</v>
      </c>
      <c r="H157" s="99">
        <f t="shared" si="35"/>
        <v>0</v>
      </c>
      <c r="I157" s="99">
        <f t="shared" si="35"/>
        <v>0</v>
      </c>
      <c r="J157" s="99">
        <f t="shared" si="35"/>
        <v>0</v>
      </c>
      <c r="K157" s="99">
        <f t="shared" si="35"/>
        <v>0</v>
      </c>
      <c r="L157" s="99">
        <f t="shared" si="35"/>
        <v>0</v>
      </c>
      <c r="M157" s="99">
        <f t="shared" si="35"/>
        <v>0</v>
      </c>
      <c r="N157" s="99">
        <f t="shared" si="35"/>
        <v>0</v>
      </c>
      <c r="O157" s="99">
        <f t="shared" si="35"/>
        <v>0</v>
      </c>
      <c r="P157" s="99">
        <f t="shared" si="35"/>
        <v>0</v>
      </c>
      <c r="Q157" s="99">
        <f t="shared" si="35"/>
        <v>0</v>
      </c>
      <c r="R157" s="99">
        <f t="shared" si="35"/>
        <v>0</v>
      </c>
      <c r="S157" s="99">
        <f t="shared" si="35"/>
        <v>0</v>
      </c>
      <c r="T157" s="99">
        <f t="shared" si="35"/>
        <v>0</v>
      </c>
      <c r="U157" s="99">
        <f t="shared" si="35"/>
        <v>0</v>
      </c>
      <c r="V157" s="99">
        <f t="shared" si="35"/>
        <v>0</v>
      </c>
      <c r="W157" s="99">
        <f t="shared" si="35"/>
        <v>0</v>
      </c>
      <c r="X157" s="99">
        <f t="shared" si="35"/>
        <v>0</v>
      </c>
    </row>
    <row r="158" spans="1:25" ht="30" hidden="1" customHeight="1" outlineLevel="1" x14ac:dyDescent="0.25">
      <c r="A158" s="92" t="s">
        <v>141</v>
      </c>
      <c r="B158" s="93"/>
      <c r="C158" s="123"/>
      <c r="D158" s="98">
        <f>D160+D162+D164+D166+D168+D170+D172+D174+D176+D178</f>
        <v>0</v>
      </c>
      <c r="E158" s="98">
        <f>E160+E162+E164+E166+E168+E170+E172+E174+E176+E178</f>
        <v>0</v>
      </c>
      <c r="F158" s="98">
        <f t="shared" ref="F158:X158" si="36">F160+F162+F164+F166+F168+F170+F172+F174+F176+F178</f>
        <v>0</v>
      </c>
      <c r="G158" s="98">
        <f t="shared" si="36"/>
        <v>0</v>
      </c>
      <c r="H158" s="98">
        <f t="shared" si="36"/>
        <v>0</v>
      </c>
      <c r="I158" s="98">
        <f t="shared" si="36"/>
        <v>0</v>
      </c>
      <c r="J158" s="98">
        <f t="shared" si="36"/>
        <v>0</v>
      </c>
      <c r="K158" s="98">
        <f t="shared" si="36"/>
        <v>0</v>
      </c>
      <c r="L158" s="98">
        <f t="shared" si="36"/>
        <v>0</v>
      </c>
      <c r="M158" s="98">
        <f t="shared" si="36"/>
        <v>0</v>
      </c>
      <c r="N158" s="98">
        <f t="shared" si="36"/>
        <v>0</v>
      </c>
      <c r="O158" s="98">
        <f t="shared" si="36"/>
        <v>0</v>
      </c>
      <c r="P158" s="98">
        <f t="shared" si="36"/>
        <v>0</v>
      </c>
      <c r="Q158" s="98">
        <f t="shared" si="36"/>
        <v>0</v>
      </c>
      <c r="R158" s="98">
        <f t="shared" si="36"/>
        <v>0</v>
      </c>
      <c r="S158" s="98">
        <f t="shared" si="36"/>
        <v>0</v>
      </c>
      <c r="T158" s="98">
        <f t="shared" si="36"/>
        <v>0</v>
      </c>
      <c r="U158" s="98">
        <f t="shared" si="36"/>
        <v>0</v>
      </c>
      <c r="V158" s="98">
        <f t="shared" si="36"/>
        <v>0</v>
      </c>
      <c r="W158" s="98">
        <f t="shared" si="36"/>
        <v>0</v>
      </c>
      <c r="X158" s="94">
        <f t="shared" si="36"/>
        <v>0</v>
      </c>
    </row>
    <row r="159" spans="1:25" hidden="1" outlineLevel="2" x14ac:dyDescent="0.25">
      <c r="A159" s="558" t="str">
        <f>Hypothèses!A33</f>
        <v>Usage n°1</v>
      </c>
      <c r="B159" s="131" t="s">
        <v>140</v>
      </c>
      <c r="C159" s="124"/>
      <c r="D159" s="50"/>
      <c r="E159" s="218"/>
      <c r="F159" s="219"/>
      <c r="G159" s="219"/>
      <c r="H159" s="218"/>
      <c r="I159" s="218"/>
      <c r="J159" s="219"/>
      <c r="K159" s="218"/>
      <c r="L159" s="218"/>
      <c r="M159" s="218"/>
      <c r="N159" s="218"/>
      <c r="O159" s="219"/>
      <c r="P159" s="219"/>
      <c r="Q159" s="219"/>
      <c r="R159" s="219"/>
      <c r="S159" s="218"/>
      <c r="T159" s="218"/>
      <c r="U159" s="219"/>
      <c r="V159" s="219"/>
      <c r="W159" s="219"/>
      <c r="X159" s="219"/>
      <c r="Y159" s="91" t="str">
        <f>IF(MAX(E159:X159)&lt;&gt;Hypothèses!D$33,"Incohérence avec l'onglet hypothèses","")</f>
        <v/>
      </c>
    </row>
    <row r="160" spans="1:25" hidden="1" outlineLevel="2" x14ac:dyDescent="0.25">
      <c r="A160" s="559"/>
      <c r="B160" s="46" t="s">
        <v>138</v>
      </c>
      <c r="C160" s="46"/>
      <c r="D160" s="48"/>
      <c r="E160" s="220"/>
      <c r="F160" s="220"/>
      <c r="G160" s="220"/>
      <c r="H160" s="220"/>
      <c r="I160" s="220"/>
      <c r="J160" s="220"/>
      <c r="K160" s="220"/>
      <c r="L160" s="220"/>
      <c r="M160" s="220"/>
      <c r="N160" s="220"/>
      <c r="O160" s="220"/>
      <c r="P160" s="220"/>
      <c r="Q160" s="220"/>
      <c r="R160" s="220"/>
      <c r="S160" s="220"/>
      <c r="T160" s="220"/>
      <c r="U160" s="220"/>
      <c r="V160" s="220"/>
      <c r="W160" s="220"/>
      <c r="X160" s="220"/>
    </row>
    <row r="161" spans="1:25" hidden="1" outlineLevel="2" x14ac:dyDescent="0.25">
      <c r="A161" s="558" t="str">
        <f>Hypothèses!A34</f>
        <v>Usage n°2</v>
      </c>
      <c r="B161" s="130" t="s">
        <v>140</v>
      </c>
      <c r="C161" s="124"/>
      <c r="D161" s="50"/>
      <c r="E161" s="213"/>
      <c r="F161" s="213"/>
      <c r="G161" s="213"/>
      <c r="H161" s="213"/>
      <c r="I161" s="213"/>
      <c r="J161" s="213"/>
      <c r="K161" s="213"/>
      <c r="L161" s="213"/>
      <c r="M161" s="219"/>
      <c r="N161" s="221"/>
      <c r="O161" s="213"/>
      <c r="P161" s="213"/>
      <c r="Q161" s="213"/>
      <c r="R161" s="213"/>
      <c r="S161" s="213"/>
      <c r="T161" s="213"/>
      <c r="U161" s="213"/>
      <c r="V161" s="213"/>
      <c r="W161" s="213"/>
      <c r="X161" s="213"/>
      <c r="Y161" s="91" t="str">
        <f>IF(MAX(E161:X161)&lt;&gt;Hypothèses!D$34,"Incohérence avec l'onglet hypothèses","")</f>
        <v/>
      </c>
    </row>
    <row r="162" spans="1:25" hidden="1" outlineLevel="2" x14ac:dyDescent="0.25">
      <c r="A162" s="559"/>
      <c r="B162" s="46" t="s">
        <v>138</v>
      </c>
      <c r="C162" s="46"/>
      <c r="D162" s="48"/>
      <c r="E162" s="220"/>
      <c r="F162" s="222"/>
      <c r="G162" s="222"/>
      <c r="H162" s="223"/>
      <c r="I162" s="220"/>
      <c r="J162" s="220"/>
      <c r="K162" s="220"/>
      <c r="L162" s="220"/>
      <c r="M162" s="220"/>
      <c r="N162" s="224"/>
      <c r="O162" s="222"/>
      <c r="P162" s="222"/>
      <c r="Q162" s="222"/>
      <c r="R162" s="222"/>
      <c r="S162" s="220"/>
      <c r="T162" s="220"/>
      <c r="U162" s="222"/>
      <c r="V162" s="222"/>
      <c r="W162" s="222"/>
      <c r="X162" s="222"/>
    </row>
    <row r="163" spans="1:25" hidden="1" outlineLevel="2" x14ac:dyDescent="0.25">
      <c r="A163" s="558" t="str">
        <f>Hypothèses!A35</f>
        <v>Usage n°3</v>
      </c>
      <c r="B163" s="131" t="s">
        <v>140</v>
      </c>
      <c r="C163" s="124"/>
      <c r="D163" s="50"/>
      <c r="E163" s="213"/>
      <c r="F163" s="213"/>
      <c r="G163" s="213"/>
      <c r="H163" s="213"/>
      <c r="I163" s="213"/>
      <c r="J163" s="213"/>
      <c r="K163" s="213"/>
      <c r="L163" s="213"/>
      <c r="M163" s="219"/>
      <c r="N163" s="221"/>
      <c r="O163" s="213"/>
      <c r="P163" s="213"/>
      <c r="Q163" s="213"/>
      <c r="R163" s="213"/>
      <c r="S163" s="213"/>
      <c r="T163" s="213"/>
      <c r="U163" s="213"/>
      <c r="V163" s="213"/>
      <c r="W163" s="213"/>
      <c r="X163" s="213"/>
      <c r="Y163" s="91" t="str">
        <f>IF(MAX(E163:X163)&lt;&gt;Hypothèses!D$35,"Incohérence avec l'onglet hypothèses","")</f>
        <v/>
      </c>
    </row>
    <row r="164" spans="1:25" hidden="1" outlineLevel="2" x14ac:dyDescent="0.25">
      <c r="A164" s="559"/>
      <c r="B164" s="46" t="s">
        <v>138</v>
      </c>
      <c r="C164" s="46"/>
      <c r="D164" s="48"/>
      <c r="E164" s="220"/>
      <c r="F164" s="222"/>
      <c r="G164" s="222"/>
      <c r="H164" s="220"/>
      <c r="I164" s="224"/>
      <c r="J164" s="220"/>
      <c r="K164" s="220"/>
      <c r="L164" s="220"/>
      <c r="M164" s="220"/>
      <c r="N164" s="224"/>
      <c r="O164" s="222"/>
      <c r="P164" s="222"/>
      <c r="Q164" s="222"/>
      <c r="R164" s="222"/>
      <c r="S164" s="220"/>
      <c r="T164" s="220"/>
      <c r="U164" s="222"/>
      <c r="V164" s="222"/>
      <c r="W164" s="222"/>
      <c r="X164" s="222"/>
    </row>
    <row r="165" spans="1:25" hidden="1" outlineLevel="2" x14ac:dyDescent="0.25">
      <c r="A165" s="558" t="str">
        <f>Hypothèses!A36</f>
        <v>Usage n°4</v>
      </c>
      <c r="B165" s="131" t="s">
        <v>140</v>
      </c>
      <c r="C165" s="124"/>
      <c r="D165" s="50"/>
      <c r="E165" s="213"/>
      <c r="F165" s="213"/>
      <c r="G165" s="213"/>
      <c r="H165" s="219"/>
      <c r="I165" s="221"/>
      <c r="J165" s="213"/>
      <c r="K165" s="213"/>
      <c r="L165" s="213"/>
      <c r="M165" s="219"/>
      <c r="N165" s="221"/>
      <c r="O165" s="213"/>
      <c r="P165" s="213"/>
      <c r="Q165" s="213"/>
      <c r="R165" s="213"/>
      <c r="S165" s="213"/>
      <c r="T165" s="213"/>
      <c r="U165" s="213"/>
      <c r="V165" s="213"/>
      <c r="W165" s="213"/>
      <c r="X165" s="213"/>
      <c r="Y165" s="91" t="str">
        <f>IF(MAX(E165:X165)&lt;&gt;Hypothèses!D$36,"Incohérence avec l'onglet hypothèses","")</f>
        <v/>
      </c>
    </row>
    <row r="166" spans="1:25" hidden="1" outlineLevel="2" x14ac:dyDescent="0.25">
      <c r="A166" s="559"/>
      <c r="B166" s="46" t="s">
        <v>138</v>
      </c>
      <c r="C166" s="46"/>
      <c r="D166" s="48"/>
      <c r="E166" s="220"/>
      <c r="F166" s="222"/>
      <c r="G166" s="222"/>
      <c r="H166" s="220"/>
      <c r="I166" s="224"/>
      <c r="J166" s="220"/>
      <c r="K166" s="220"/>
      <c r="L166" s="220"/>
      <c r="M166" s="220"/>
      <c r="N166" s="224"/>
      <c r="O166" s="222"/>
      <c r="P166" s="222"/>
      <c r="Q166" s="222"/>
      <c r="R166" s="222"/>
      <c r="S166" s="220"/>
      <c r="T166" s="220"/>
      <c r="U166" s="222"/>
      <c r="V166" s="222"/>
      <c r="W166" s="222"/>
      <c r="X166" s="222"/>
    </row>
    <row r="167" spans="1:25" hidden="1" outlineLevel="2" x14ac:dyDescent="0.25">
      <c r="A167" s="558" t="str">
        <f>Hypothèses!A37</f>
        <v>Usage n°5</v>
      </c>
      <c r="B167" s="131" t="s">
        <v>140</v>
      </c>
      <c r="C167" s="124"/>
      <c r="D167" s="50"/>
      <c r="E167" s="213"/>
      <c r="F167" s="213"/>
      <c r="G167" s="213"/>
      <c r="H167" s="219"/>
      <c r="I167" s="221"/>
      <c r="J167" s="213"/>
      <c r="K167" s="213"/>
      <c r="L167" s="213"/>
      <c r="M167" s="219"/>
      <c r="N167" s="221"/>
      <c r="O167" s="213"/>
      <c r="P167" s="213"/>
      <c r="Q167" s="213"/>
      <c r="R167" s="213"/>
      <c r="S167" s="213"/>
      <c r="T167" s="213"/>
      <c r="U167" s="213"/>
      <c r="V167" s="213"/>
      <c r="W167" s="213"/>
      <c r="X167" s="213"/>
      <c r="Y167" s="91" t="str">
        <f>IF(MAX(E167:X167)&lt;&gt;Hypothèses!D$37,"Incohérence avec l'onglet hypothèses","")</f>
        <v/>
      </c>
    </row>
    <row r="168" spans="1:25" hidden="1" outlineLevel="2" x14ac:dyDescent="0.25">
      <c r="A168" s="559"/>
      <c r="B168" s="46" t="s">
        <v>138</v>
      </c>
      <c r="C168" s="46"/>
      <c r="D168" s="48"/>
      <c r="E168" s="220"/>
      <c r="F168" s="222"/>
      <c r="G168" s="222"/>
      <c r="H168" s="220"/>
      <c r="I168" s="224"/>
      <c r="J168" s="220"/>
      <c r="K168" s="220"/>
      <c r="L168" s="220"/>
      <c r="M168" s="220"/>
      <c r="N168" s="224"/>
      <c r="O168" s="222"/>
      <c r="P168" s="222"/>
      <c r="Q168" s="222"/>
      <c r="R168" s="222"/>
      <c r="S168" s="220"/>
      <c r="T168" s="220"/>
      <c r="U168" s="222"/>
      <c r="V168" s="222"/>
      <c r="W168" s="222"/>
      <c r="X168" s="222"/>
    </row>
    <row r="169" spans="1:25" hidden="1" outlineLevel="2" x14ac:dyDescent="0.25">
      <c r="A169" s="558" t="str">
        <f>Hypothèses!A38</f>
        <v>Usage n°6</v>
      </c>
      <c r="B169" s="131" t="s">
        <v>140</v>
      </c>
      <c r="C169" s="124"/>
      <c r="D169" s="50"/>
      <c r="E169" s="213"/>
      <c r="F169" s="213"/>
      <c r="G169" s="213"/>
      <c r="H169" s="219"/>
      <c r="I169" s="221"/>
      <c r="J169" s="213"/>
      <c r="K169" s="213"/>
      <c r="L169" s="213"/>
      <c r="M169" s="219"/>
      <c r="N169" s="221"/>
      <c r="O169" s="213"/>
      <c r="P169" s="213"/>
      <c r="Q169" s="213"/>
      <c r="R169" s="213"/>
      <c r="S169" s="213"/>
      <c r="T169" s="213"/>
      <c r="U169" s="213"/>
      <c r="V169" s="213"/>
      <c r="W169" s="213"/>
      <c r="X169" s="213"/>
      <c r="Y169" s="91" t="str">
        <f>IF(MAX(E169:X169)&lt;&gt;Hypothèses!D$38,"Incohérence avec l'onglet hypothèses","")</f>
        <v/>
      </c>
    </row>
    <row r="170" spans="1:25" hidden="1" outlineLevel="2" x14ac:dyDescent="0.25">
      <c r="A170" s="559"/>
      <c r="B170" s="46" t="s">
        <v>138</v>
      </c>
      <c r="C170" s="46"/>
      <c r="D170" s="48"/>
      <c r="E170" s="220"/>
      <c r="F170" s="222"/>
      <c r="G170" s="222"/>
      <c r="H170" s="220"/>
      <c r="I170" s="224"/>
      <c r="J170" s="220"/>
      <c r="K170" s="220"/>
      <c r="L170" s="220"/>
      <c r="M170" s="220"/>
      <c r="N170" s="224"/>
      <c r="O170" s="222"/>
      <c r="P170" s="222"/>
      <c r="Q170" s="222"/>
      <c r="R170" s="222"/>
      <c r="S170" s="220"/>
      <c r="T170" s="220"/>
      <c r="U170" s="222"/>
      <c r="V170" s="222"/>
      <c r="W170" s="222"/>
      <c r="X170" s="222"/>
    </row>
    <row r="171" spans="1:25" hidden="1" outlineLevel="2" x14ac:dyDescent="0.25">
      <c r="A171" s="558" t="str">
        <f>Hypothèses!A39</f>
        <v>Usage n°7</v>
      </c>
      <c r="B171" s="131" t="s">
        <v>140</v>
      </c>
      <c r="C171" s="124"/>
      <c r="D171" s="50"/>
      <c r="E171" s="213"/>
      <c r="F171" s="213"/>
      <c r="G171" s="213"/>
      <c r="H171" s="219"/>
      <c r="I171" s="221"/>
      <c r="J171" s="213"/>
      <c r="K171" s="213"/>
      <c r="L171" s="213"/>
      <c r="M171" s="219"/>
      <c r="N171" s="221"/>
      <c r="O171" s="213"/>
      <c r="P171" s="213"/>
      <c r="Q171" s="213"/>
      <c r="R171" s="213"/>
      <c r="S171" s="213"/>
      <c r="T171" s="213"/>
      <c r="U171" s="213"/>
      <c r="V171" s="213"/>
      <c r="W171" s="213"/>
      <c r="X171" s="213"/>
      <c r="Y171" s="91" t="str">
        <f>IF(MAX(E171:X171)&lt;&gt;Hypothèses!D$39,"Incohérence avec l'onglet hypothèses","")</f>
        <v/>
      </c>
    </row>
    <row r="172" spans="1:25" hidden="1" outlineLevel="2" x14ac:dyDescent="0.25">
      <c r="A172" s="559"/>
      <c r="B172" s="46" t="s">
        <v>138</v>
      </c>
      <c r="C172" s="46"/>
      <c r="D172" s="48"/>
      <c r="E172" s="220"/>
      <c r="F172" s="222"/>
      <c r="G172" s="222"/>
      <c r="H172" s="220"/>
      <c r="I172" s="224"/>
      <c r="J172" s="220"/>
      <c r="K172" s="220"/>
      <c r="L172" s="220"/>
      <c r="M172" s="220"/>
      <c r="N172" s="224"/>
      <c r="O172" s="222"/>
      <c r="P172" s="222"/>
      <c r="Q172" s="222"/>
      <c r="R172" s="222"/>
      <c r="S172" s="220"/>
      <c r="T172" s="220"/>
      <c r="U172" s="222"/>
      <c r="V172" s="222"/>
      <c r="W172" s="222"/>
      <c r="X172" s="222"/>
    </row>
    <row r="173" spans="1:25" hidden="1" outlineLevel="2" x14ac:dyDescent="0.25">
      <c r="A173" s="558" t="str">
        <f>Hypothèses!A40</f>
        <v>Usage n°8</v>
      </c>
      <c r="B173" s="130" t="s">
        <v>140</v>
      </c>
      <c r="C173" s="124"/>
      <c r="D173" s="50"/>
      <c r="E173" s="213"/>
      <c r="F173" s="213"/>
      <c r="G173" s="213"/>
      <c r="H173" s="219"/>
      <c r="I173" s="221"/>
      <c r="J173" s="213"/>
      <c r="K173" s="213"/>
      <c r="L173" s="213"/>
      <c r="M173" s="219"/>
      <c r="N173" s="221"/>
      <c r="O173" s="213"/>
      <c r="P173" s="213"/>
      <c r="Q173" s="213"/>
      <c r="R173" s="213"/>
      <c r="S173" s="213"/>
      <c r="T173" s="213"/>
      <c r="U173" s="213"/>
      <c r="V173" s="213"/>
      <c r="W173" s="213"/>
      <c r="X173" s="213"/>
      <c r="Y173" s="91" t="str">
        <f>IF(MAX(E173:X173)&lt;&gt;Hypothèses!D$40,"Incohérence avec l'onglet hypothèses","")</f>
        <v/>
      </c>
    </row>
    <row r="174" spans="1:25" hidden="1" outlineLevel="2" x14ac:dyDescent="0.25">
      <c r="A174" s="559"/>
      <c r="B174" s="46" t="s">
        <v>138</v>
      </c>
      <c r="C174" s="46"/>
      <c r="D174" s="48"/>
      <c r="E174" s="220"/>
      <c r="F174" s="222"/>
      <c r="G174" s="222"/>
      <c r="H174" s="220"/>
      <c r="I174" s="224"/>
      <c r="J174" s="220"/>
      <c r="K174" s="220"/>
      <c r="L174" s="220"/>
      <c r="M174" s="220"/>
      <c r="N174" s="224"/>
      <c r="O174" s="222"/>
      <c r="P174" s="222"/>
      <c r="Q174" s="222"/>
      <c r="R174" s="222"/>
      <c r="S174" s="220"/>
      <c r="T174" s="220"/>
      <c r="U174" s="222"/>
      <c r="V174" s="222"/>
      <c r="W174" s="222"/>
      <c r="X174" s="222"/>
    </row>
    <row r="175" spans="1:25" hidden="1" outlineLevel="2" x14ac:dyDescent="0.25">
      <c r="A175" s="558" t="str">
        <f>Hypothèses!A41</f>
        <v>Usage n°9</v>
      </c>
      <c r="B175" s="131" t="s">
        <v>140</v>
      </c>
      <c r="C175" s="124"/>
      <c r="D175" s="50"/>
      <c r="E175" s="213"/>
      <c r="F175" s="213"/>
      <c r="G175" s="213"/>
      <c r="H175" s="219"/>
      <c r="I175" s="221"/>
      <c r="J175" s="213"/>
      <c r="K175" s="213"/>
      <c r="L175" s="213"/>
      <c r="M175" s="219"/>
      <c r="N175" s="221"/>
      <c r="O175" s="213"/>
      <c r="P175" s="213"/>
      <c r="Q175" s="213"/>
      <c r="R175" s="213"/>
      <c r="S175" s="213"/>
      <c r="T175" s="213"/>
      <c r="U175" s="213"/>
      <c r="V175" s="213"/>
      <c r="W175" s="213"/>
      <c r="X175" s="213"/>
      <c r="Y175" s="91" t="str">
        <f>IF(MAX(E175:X175)&lt;&gt;Hypothèses!D$41,"Incohérence avec l'onglet hypothèses","")</f>
        <v/>
      </c>
    </row>
    <row r="176" spans="1:25" hidden="1" outlineLevel="2" x14ac:dyDescent="0.25">
      <c r="A176" s="559"/>
      <c r="B176" s="46" t="s">
        <v>138</v>
      </c>
      <c r="C176" s="46"/>
      <c r="D176" s="48"/>
      <c r="E176" s="220"/>
      <c r="F176" s="222"/>
      <c r="G176" s="222"/>
      <c r="H176" s="220"/>
      <c r="I176" s="224"/>
      <c r="J176" s="220"/>
      <c r="K176" s="220"/>
      <c r="L176" s="220"/>
      <c r="M176" s="220"/>
      <c r="N176" s="224"/>
      <c r="O176" s="222"/>
      <c r="P176" s="222"/>
      <c r="Q176" s="222"/>
      <c r="R176" s="222"/>
      <c r="S176" s="220"/>
      <c r="T176" s="220"/>
      <c r="U176" s="222"/>
      <c r="V176" s="222"/>
      <c r="W176" s="222"/>
      <c r="X176" s="222"/>
    </row>
    <row r="177" spans="1:25" hidden="1" outlineLevel="2" x14ac:dyDescent="0.25">
      <c r="A177" s="558" t="str">
        <f>Hypothèses!A42</f>
        <v>Usage n°10</v>
      </c>
      <c r="B177" s="130" t="s">
        <v>140</v>
      </c>
      <c r="C177" s="124"/>
      <c r="D177" s="50"/>
      <c r="E177" s="213"/>
      <c r="F177" s="213"/>
      <c r="G177" s="213"/>
      <c r="H177" s="219"/>
      <c r="I177" s="221"/>
      <c r="J177" s="213"/>
      <c r="K177" s="213"/>
      <c r="L177" s="213"/>
      <c r="M177" s="219"/>
      <c r="N177" s="221"/>
      <c r="O177" s="213"/>
      <c r="P177" s="213"/>
      <c r="Q177" s="213"/>
      <c r="R177" s="213"/>
      <c r="S177" s="213"/>
      <c r="T177" s="213"/>
      <c r="U177" s="213"/>
      <c r="V177" s="213"/>
      <c r="W177" s="213"/>
      <c r="X177" s="213"/>
      <c r="Y177" s="91" t="str">
        <f>IF(MAX(E177:X177)&lt;&gt;Hypothèses!D$42,"Incohérence avec l'onglet hypothèses","")</f>
        <v/>
      </c>
    </row>
    <row r="178" spans="1:25" hidden="1" outlineLevel="2" x14ac:dyDescent="0.25">
      <c r="A178" s="559"/>
      <c r="B178" s="89" t="s">
        <v>138</v>
      </c>
      <c r="C178" s="126"/>
      <c r="D178" s="90"/>
      <c r="E178" s="220"/>
      <c r="F178" s="220"/>
      <c r="G178" s="220"/>
      <c r="H178" s="220"/>
      <c r="I178" s="224"/>
      <c r="J178" s="220"/>
      <c r="K178" s="220"/>
      <c r="L178" s="220"/>
      <c r="M178" s="220"/>
      <c r="N178" s="224"/>
      <c r="O178" s="220"/>
      <c r="P178" s="220"/>
      <c r="Q178" s="220"/>
      <c r="R178" s="220"/>
      <c r="S178" s="220"/>
      <c r="T178" s="220"/>
      <c r="U178" s="220"/>
      <c r="V178" s="220"/>
      <c r="W178" s="220"/>
      <c r="X178" s="220"/>
    </row>
    <row r="179" spans="1:25" hidden="1" outlineLevel="2" x14ac:dyDescent="0.25">
      <c r="A179" s="582" t="s">
        <v>143</v>
      </c>
      <c r="B179" s="583"/>
      <c r="C179" s="133"/>
      <c r="D179" s="101"/>
      <c r="E179" s="101">
        <f>(E159+E161+E163+E165+E167+E169+E171+E173+E175+E177)/1000</f>
        <v>0</v>
      </c>
      <c r="F179" s="101">
        <f t="shared" ref="F179:X179" si="37">(F159+F161+F163+F165+F167+F169+F171+F173+F175+F177)/1000</f>
        <v>0</v>
      </c>
      <c r="G179" s="101">
        <f t="shared" si="37"/>
        <v>0</v>
      </c>
      <c r="H179" s="101">
        <f t="shared" si="37"/>
        <v>0</v>
      </c>
      <c r="I179" s="101">
        <f t="shared" si="37"/>
        <v>0</v>
      </c>
      <c r="J179" s="101">
        <f t="shared" si="37"/>
        <v>0</v>
      </c>
      <c r="K179" s="101">
        <f t="shared" si="37"/>
        <v>0</v>
      </c>
      <c r="L179" s="101">
        <f t="shared" si="37"/>
        <v>0</v>
      </c>
      <c r="M179" s="101">
        <f t="shared" si="37"/>
        <v>0</v>
      </c>
      <c r="N179" s="101">
        <f t="shared" si="37"/>
        <v>0</v>
      </c>
      <c r="O179" s="101">
        <f t="shared" si="37"/>
        <v>0</v>
      </c>
      <c r="P179" s="101">
        <f t="shared" si="37"/>
        <v>0</v>
      </c>
      <c r="Q179" s="101">
        <f t="shared" si="37"/>
        <v>0</v>
      </c>
      <c r="R179" s="101">
        <f t="shared" si="37"/>
        <v>0</v>
      </c>
      <c r="S179" s="101">
        <f t="shared" si="37"/>
        <v>0</v>
      </c>
      <c r="T179" s="101">
        <f t="shared" si="37"/>
        <v>0</v>
      </c>
      <c r="U179" s="101">
        <f t="shared" si="37"/>
        <v>0</v>
      </c>
      <c r="V179" s="101">
        <f t="shared" si="37"/>
        <v>0</v>
      </c>
      <c r="W179" s="101">
        <f t="shared" si="37"/>
        <v>0</v>
      </c>
      <c r="X179" s="101">
        <f t="shared" si="37"/>
        <v>0</v>
      </c>
    </row>
    <row r="180" spans="1:25" hidden="1" outlineLevel="1" x14ac:dyDescent="0.25">
      <c r="A180" s="101" t="s">
        <v>229</v>
      </c>
      <c r="B180" s="201"/>
      <c r="C180" s="225" t="s">
        <v>230</v>
      </c>
      <c r="D180" s="212"/>
      <c r="E180" s="212"/>
      <c r="F180" s="212"/>
      <c r="G180" s="212"/>
      <c r="H180" s="212"/>
      <c r="I180" s="212"/>
      <c r="J180" s="212"/>
      <c r="K180" s="212"/>
      <c r="L180" s="212"/>
      <c r="M180" s="212"/>
      <c r="N180" s="212"/>
      <c r="O180" s="212"/>
      <c r="P180" s="212"/>
      <c r="Q180" s="212"/>
      <c r="R180" s="212"/>
      <c r="S180" s="212"/>
      <c r="T180" s="212"/>
      <c r="U180" s="212"/>
      <c r="V180" s="212"/>
      <c r="W180" s="212"/>
      <c r="X180" s="212"/>
    </row>
    <row r="181" spans="1:25" hidden="1" outlineLevel="1" x14ac:dyDescent="0.25">
      <c r="A181" s="266"/>
      <c r="B181" s="266"/>
      <c r="C181" s="266"/>
      <c r="D181" s="266"/>
      <c r="E181" s="266"/>
      <c r="F181" s="266"/>
      <c r="G181" s="266"/>
      <c r="H181" s="266"/>
      <c r="I181" s="266"/>
      <c r="J181" s="266"/>
      <c r="K181" s="266"/>
      <c r="L181" s="266"/>
      <c r="M181" s="266"/>
      <c r="N181" s="266"/>
      <c r="O181" s="266"/>
      <c r="P181" s="266"/>
      <c r="Q181" s="266"/>
      <c r="R181" s="266"/>
      <c r="S181" s="266"/>
      <c r="T181" s="266"/>
      <c r="U181" s="266"/>
      <c r="V181" s="266"/>
      <c r="W181" s="266"/>
      <c r="X181" s="266"/>
    </row>
    <row r="182" spans="1:25" hidden="1" outlineLevel="1" x14ac:dyDescent="0.25">
      <c r="A182" s="95" t="s">
        <v>81</v>
      </c>
      <c r="B182" s="129"/>
      <c r="C182" s="122"/>
      <c r="D182" s="97">
        <f t="shared" ref="D182:X182" si="38">SUM(D186:D188)+D184</f>
        <v>0</v>
      </c>
      <c r="E182" s="97">
        <f t="shared" si="38"/>
        <v>0</v>
      </c>
      <c r="F182" s="97">
        <f t="shared" si="38"/>
        <v>0</v>
      </c>
      <c r="G182" s="97">
        <f t="shared" si="38"/>
        <v>0</v>
      </c>
      <c r="H182" s="97">
        <f t="shared" si="38"/>
        <v>0</v>
      </c>
      <c r="I182" s="97">
        <f t="shared" si="38"/>
        <v>0</v>
      </c>
      <c r="J182" s="97">
        <f t="shared" si="38"/>
        <v>0</v>
      </c>
      <c r="K182" s="97">
        <f t="shared" si="38"/>
        <v>0</v>
      </c>
      <c r="L182" s="97">
        <f t="shared" si="38"/>
        <v>0</v>
      </c>
      <c r="M182" s="97">
        <f t="shared" si="38"/>
        <v>0</v>
      </c>
      <c r="N182" s="97">
        <f t="shared" si="38"/>
        <v>0</v>
      </c>
      <c r="O182" s="97">
        <f t="shared" si="38"/>
        <v>0</v>
      </c>
      <c r="P182" s="97">
        <f t="shared" si="38"/>
        <v>0</v>
      </c>
      <c r="Q182" s="97">
        <f t="shared" si="38"/>
        <v>0</v>
      </c>
      <c r="R182" s="97">
        <f t="shared" si="38"/>
        <v>0</v>
      </c>
      <c r="S182" s="97">
        <f t="shared" si="38"/>
        <v>0</v>
      </c>
      <c r="T182" s="97">
        <f t="shared" si="38"/>
        <v>0</v>
      </c>
      <c r="U182" s="97">
        <f t="shared" si="38"/>
        <v>0</v>
      </c>
      <c r="V182" s="97">
        <f t="shared" si="38"/>
        <v>0</v>
      </c>
      <c r="W182" s="97">
        <f t="shared" si="38"/>
        <v>0</v>
      </c>
      <c r="X182" s="97">
        <f t="shared" si="38"/>
        <v>0</v>
      </c>
    </row>
    <row r="183" spans="1:25" hidden="1" outlineLevel="1" x14ac:dyDescent="0.25">
      <c r="A183" s="558" t="s">
        <v>21</v>
      </c>
      <c r="B183" s="130" t="s">
        <v>84</v>
      </c>
      <c r="C183" s="124"/>
      <c r="D183" s="50"/>
      <c r="E183" s="213"/>
      <c r="F183" s="213"/>
      <c r="G183" s="213"/>
      <c r="H183" s="213"/>
      <c r="I183" s="213"/>
      <c r="J183" s="213"/>
      <c r="K183" s="213"/>
      <c r="L183" s="213"/>
      <c r="M183" s="213"/>
      <c r="N183" s="213"/>
      <c r="O183" s="213"/>
      <c r="P183" s="213"/>
      <c r="Q183" s="213"/>
      <c r="R183" s="213"/>
      <c r="S183" s="213"/>
      <c r="T183" s="213"/>
      <c r="U183" s="213"/>
      <c r="V183" s="213"/>
      <c r="W183" s="213"/>
      <c r="X183" s="213"/>
    </row>
    <row r="184" spans="1:25" hidden="1" outlineLevel="1" x14ac:dyDescent="0.25">
      <c r="A184" s="559"/>
      <c r="B184" s="89" t="s">
        <v>144</v>
      </c>
      <c r="C184" s="127"/>
      <c r="D184" s="48"/>
      <c r="E184" s="52">
        <f>E183*$E$140*(1+IF($E$141&lt;&gt;0,$E$141,$G$141))^(E$146-1)/1000</f>
        <v>0</v>
      </c>
      <c r="F184" s="52">
        <f t="shared" ref="F184:X184" si="39">F183*$E$140*(1+IF($E$141&lt;&gt;0,$E$141,$G$141))^(F$146-1)/1000</f>
        <v>0</v>
      </c>
      <c r="G184" s="52">
        <f t="shared" si="39"/>
        <v>0</v>
      </c>
      <c r="H184" s="52">
        <f t="shared" si="39"/>
        <v>0</v>
      </c>
      <c r="I184" s="52">
        <f t="shared" si="39"/>
        <v>0</v>
      </c>
      <c r="J184" s="52">
        <f t="shared" si="39"/>
        <v>0</v>
      </c>
      <c r="K184" s="52">
        <f t="shared" si="39"/>
        <v>0</v>
      </c>
      <c r="L184" s="52">
        <f t="shared" si="39"/>
        <v>0</v>
      </c>
      <c r="M184" s="52">
        <f t="shared" si="39"/>
        <v>0</v>
      </c>
      <c r="N184" s="52">
        <f t="shared" si="39"/>
        <v>0</v>
      </c>
      <c r="O184" s="52">
        <f t="shared" si="39"/>
        <v>0</v>
      </c>
      <c r="P184" s="52">
        <f t="shared" si="39"/>
        <v>0</v>
      </c>
      <c r="Q184" s="52">
        <f t="shared" si="39"/>
        <v>0</v>
      </c>
      <c r="R184" s="52">
        <f t="shared" si="39"/>
        <v>0</v>
      </c>
      <c r="S184" s="52">
        <f t="shared" si="39"/>
        <v>0</v>
      </c>
      <c r="T184" s="52">
        <f t="shared" si="39"/>
        <v>0</v>
      </c>
      <c r="U184" s="52">
        <f t="shared" si="39"/>
        <v>0</v>
      </c>
      <c r="V184" s="52">
        <f t="shared" si="39"/>
        <v>0</v>
      </c>
      <c r="W184" s="52">
        <f t="shared" si="39"/>
        <v>0</v>
      </c>
      <c r="X184" s="52">
        <f t="shared" si="39"/>
        <v>0</v>
      </c>
    </row>
    <row r="185" spans="1:25" hidden="1" outlineLevel="1" x14ac:dyDescent="0.25">
      <c r="A185" s="558" t="s">
        <v>74</v>
      </c>
      <c r="B185" s="130" t="s">
        <v>85</v>
      </c>
      <c r="C185" s="124"/>
      <c r="D185" s="50"/>
      <c r="E185" s="213"/>
      <c r="F185" s="213"/>
      <c r="G185" s="213"/>
      <c r="H185" s="213"/>
      <c r="I185" s="213"/>
      <c r="J185" s="213"/>
      <c r="K185" s="213"/>
      <c r="L185" s="213"/>
      <c r="M185" s="213"/>
      <c r="N185" s="213"/>
      <c r="O185" s="213"/>
      <c r="P185" s="213"/>
      <c r="Q185" s="213"/>
      <c r="R185" s="213"/>
      <c r="S185" s="213"/>
      <c r="T185" s="213"/>
      <c r="U185" s="213"/>
      <c r="V185" s="213"/>
      <c r="W185" s="213"/>
      <c r="X185" s="213"/>
    </row>
    <row r="186" spans="1:25" hidden="1" outlineLevel="1" x14ac:dyDescent="0.25">
      <c r="A186" s="559"/>
      <c r="B186" s="89" t="s">
        <v>144</v>
      </c>
      <c r="C186" s="127"/>
      <c r="D186" s="48"/>
      <c r="E186" s="52">
        <f t="shared" ref="E186:X186" si="40">E185*$E142*(1+$E143)^(E$21-1)/1000</f>
        <v>0</v>
      </c>
      <c r="F186" s="52">
        <f t="shared" si="40"/>
        <v>0</v>
      </c>
      <c r="G186" s="52">
        <f t="shared" si="40"/>
        <v>0</v>
      </c>
      <c r="H186" s="52">
        <f t="shared" si="40"/>
        <v>0</v>
      </c>
      <c r="I186" s="52">
        <f t="shared" si="40"/>
        <v>0</v>
      </c>
      <c r="J186" s="52">
        <f t="shared" si="40"/>
        <v>0</v>
      </c>
      <c r="K186" s="52">
        <f t="shared" si="40"/>
        <v>0</v>
      </c>
      <c r="L186" s="52">
        <f t="shared" si="40"/>
        <v>0</v>
      </c>
      <c r="M186" s="52">
        <f t="shared" si="40"/>
        <v>0</v>
      </c>
      <c r="N186" s="52">
        <f t="shared" si="40"/>
        <v>0</v>
      </c>
      <c r="O186" s="52">
        <f t="shared" si="40"/>
        <v>0</v>
      </c>
      <c r="P186" s="52">
        <f t="shared" si="40"/>
        <v>0</v>
      </c>
      <c r="Q186" s="52">
        <f t="shared" si="40"/>
        <v>0</v>
      </c>
      <c r="R186" s="52">
        <f t="shared" si="40"/>
        <v>0</v>
      </c>
      <c r="S186" s="52">
        <f t="shared" si="40"/>
        <v>0</v>
      </c>
      <c r="T186" s="52">
        <f t="shared" si="40"/>
        <v>0</v>
      </c>
      <c r="U186" s="52">
        <f t="shared" si="40"/>
        <v>0</v>
      </c>
      <c r="V186" s="52">
        <f t="shared" si="40"/>
        <v>0</v>
      </c>
      <c r="W186" s="52">
        <f t="shared" si="40"/>
        <v>0</v>
      </c>
      <c r="X186" s="52">
        <f t="shared" si="40"/>
        <v>0</v>
      </c>
    </row>
    <row r="187" spans="1:25" ht="15" hidden="1" customHeight="1" outlineLevel="1" x14ac:dyDescent="0.25">
      <c r="A187" s="51" t="s">
        <v>193</v>
      </c>
      <c r="B187" s="130"/>
      <c r="C187" s="124"/>
      <c r="D187" s="50"/>
      <c r="E187" s="213"/>
      <c r="F187" s="213"/>
      <c r="G187" s="213"/>
      <c r="H187" s="213"/>
      <c r="I187" s="213"/>
      <c r="J187" s="213"/>
      <c r="K187" s="213"/>
      <c r="L187" s="213"/>
      <c r="M187" s="213"/>
      <c r="N187" s="213"/>
      <c r="O187" s="213"/>
      <c r="P187" s="213"/>
      <c r="Q187" s="213"/>
      <c r="R187" s="213"/>
      <c r="S187" s="213"/>
      <c r="T187" s="213"/>
      <c r="U187" s="213"/>
      <c r="V187" s="213"/>
      <c r="W187" s="213"/>
      <c r="X187" s="213"/>
    </row>
    <row r="188" spans="1:25" hidden="1" outlineLevel="1" x14ac:dyDescent="0.25">
      <c r="A188" s="49" t="s">
        <v>194</v>
      </c>
      <c r="B188" s="134"/>
      <c r="C188" s="127"/>
      <c r="D188" s="48"/>
      <c r="E188" s="226"/>
      <c r="F188" s="226"/>
      <c r="G188" s="226"/>
      <c r="H188" s="226"/>
      <c r="I188" s="226"/>
      <c r="J188" s="226"/>
      <c r="K188" s="226"/>
      <c r="L188" s="226"/>
      <c r="M188" s="226"/>
      <c r="N188" s="226"/>
      <c r="O188" s="226"/>
      <c r="P188" s="226"/>
      <c r="Q188" s="226"/>
      <c r="R188" s="226"/>
      <c r="S188" s="226"/>
      <c r="T188" s="226"/>
      <c r="U188" s="226"/>
      <c r="V188" s="226"/>
      <c r="W188" s="226"/>
      <c r="X188" s="226"/>
    </row>
    <row r="189" spans="1:25" hidden="1" outlineLevel="1" x14ac:dyDescent="0.25">
      <c r="D189" s="41"/>
      <c r="E189" s="41"/>
      <c r="F189" s="41"/>
      <c r="G189" s="41"/>
      <c r="H189" s="41"/>
      <c r="I189" s="41"/>
      <c r="J189" s="41"/>
      <c r="K189" s="41"/>
      <c r="L189" s="41"/>
      <c r="M189" s="41"/>
      <c r="N189" s="41"/>
      <c r="O189" s="41"/>
      <c r="P189" s="41"/>
      <c r="Q189" s="41"/>
      <c r="R189" s="41"/>
      <c r="S189" s="41"/>
      <c r="T189" s="41"/>
      <c r="U189" s="41"/>
      <c r="V189" s="41"/>
      <c r="W189" s="41"/>
      <c r="X189" s="41"/>
    </row>
    <row r="190" spans="1:25" hidden="1" outlineLevel="1" x14ac:dyDescent="0.25">
      <c r="A190" s="95" t="s">
        <v>80</v>
      </c>
      <c r="B190" s="129"/>
      <c r="C190" s="122"/>
      <c r="D190" s="97">
        <f t="shared" ref="D190:X190" si="41">D153-D182</f>
        <v>0</v>
      </c>
      <c r="E190" s="97">
        <f t="shared" si="41"/>
        <v>0</v>
      </c>
      <c r="F190" s="97">
        <f t="shared" si="41"/>
        <v>0</v>
      </c>
      <c r="G190" s="97">
        <f t="shared" si="41"/>
        <v>0</v>
      </c>
      <c r="H190" s="97">
        <f t="shared" si="41"/>
        <v>0</v>
      </c>
      <c r="I190" s="97">
        <f t="shared" si="41"/>
        <v>0</v>
      </c>
      <c r="J190" s="97">
        <f t="shared" si="41"/>
        <v>0</v>
      </c>
      <c r="K190" s="97">
        <f t="shared" si="41"/>
        <v>0</v>
      </c>
      <c r="L190" s="97">
        <f t="shared" si="41"/>
        <v>0</v>
      </c>
      <c r="M190" s="97">
        <f t="shared" si="41"/>
        <v>0</v>
      </c>
      <c r="N190" s="97">
        <f t="shared" si="41"/>
        <v>0</v>
      </c>
      <c r="O190" s="97">
        <f t="shared" si="41"/>
        <v>0</v>
      </c>
      <c r="P190" s="97">
        <f t="shared" si="41"/>
        <v>0</v>
      </c>
      <c r="Q190" s="97">
        <f t="shared" si="41"/>
        <v>0</v>
      </c>
      <c r="R190" s="97">
        <f t="shared" si="41"/>
        <v>0</v>
      </c>
      <c r="S190" s="97">
        <f t="shared" si="41"/>
        <v>0</v>
      </c>
      <c r="T190" s="97">
        <f t="shared" si="41"/>
        <v>0</v>
      </c>
      <c r="U190" s="97">
        <f t="shared" si="41"/>
        <v>0</v>
      </c>
      <c r="V190" s="97">
        <f t="shared" si="41"/>
        <v>0</v>
      </c>
      <c r="W190" s="97">
        <f t="shared" si="41"/>
        <v>0</v>
      </c>
      <c r="X190" s="97">
        <f t="shared" si="41"/>
        <v>0</v>
      </c>
    </row>
    <row r="191" spans="1:25" s="46" customFormat="1" hidden="1" outlineLevel="1" x14ac:dyDescent="0.25">
      <c r="D191" s="47"/>
      <c r="E191" s="47"/>
      <c r="F191" s="47"/>
      <c r="G191" s="47"/>
      <c r="H191" s="47"/>
      <c r="I191" s="47"/>
      <c r="J191" s="47"/>
      <c r="K191" s="47"/>
      <c r="L191" s="47"/>
      <c r="M191" s="47"/>
      <c r="N191" s="47"/>
      <c r="O191" s="47"/>
      <c r="P191" s="47"/>
      <c r="Q191" s="47"/>
      <c r="R191" s="47"/>
      <c r="S191" s="47"/>
      <c r="T191" s="47"/>
      <c r="U191" s="47"/>
      <c r="V191" s="47"/>
      <c r="W191" s="47"/>
      <c r="X191" s="47"/>
    </row>
    <row r="192" spans="1:25" hidden="1" outlineLevel="1" x14ac:dyDescent="0.25">
      <c r="A192" s="45" t="s">
        <v>198</v>
      </c>
      <c r="B192" s="135"/>
      <c r="C192" s="227">
        <v>10</v>
      </c>
      <c r="D192" s="211"/>
      <c r="E192" s="211"/>
      <c r="F192" s="211"/>
      <c r="G192" s="211"/>
      <c r="H192" s="211"/>
      <c r="I192" s="211"/>
      <c r="J192" s="211"/>
      <c r="K192" s="211"/>
      <c r="L192" s="211"/>
      <c r="M192" s="211"/>
      <c r="N192" s="211"/>
      <c r="O192" s="211"/>
      <c r="P192" s="211"/>
      <c r="Q192" s="211"/>
      <c r="R192" s="211"/>
      <c r="S192" s="211"/>
      <c r="T192" s="211"/>
      <c r="U192" s="211"/>
      <c r="V192" s="211"/>
      <c r="W192" s="211"/>
      <c r="X192" s="211"/>
    </row>
    <row r="193" spans="1:24" hidden="1" outlineLevel="1" x14ac:dyDescent="0.25">
      <c r="D193" s="41"/>
      <c r="E193" s="41"/>
      <c r="F193" s="41"/>
      <c r="G193" s="41"/>
      <c r="H193" s="41"/>
      <c r="I193" s="41"/>
      <c r="J193" s="41"/>
      <c r="K193" s="41"/>
      <c r="L193" s="41"/>
      <c r="M193" s="41"/>
      <c r="N193" s="41"/>
      <c r="O193" s="41"/>
      <c r="P193" s="41"/>
      <c r="Q193" s="41"/>
      <c r="R193" s="41"/>
      <c r="S193" s="41"/>
      <c r="T193" s="41"/>
      <c r="U193" s="41"/>
      <c r="V193" s="41"/>
      <c r="W193" s="41"/>
      <c r="X193" s="41"/>
    </row>
    <row r="194" spans="1:24" hidden="1" outlineLevel="1" x14ac:dyDescent="0.25">
      <c r="A194" s="95" t="s">
        <v>79</v>
      </c>
      <c r="B194" s="129"/>
      <c r="C194" s="122"/>
      <c r="D194" s="97">
        <f>D190-D192</f>
        <v>0</v>
      </c>
      <c r="E194" s="97">
        <f t="shared" ref="E194:X194" si="42">E190-E192</f>
        <v>0</v>
      </c>
      <c r="F194" s="97">
        <f t="shared" si="42"/>
        <v>0</v>
      </c>
      <c r="G194" s="97">
        <f t="shared" si="42"/>
        <v>0</v>
      </c>
      <c r="H194" s="97">
        <f t="shared" si="42"/>
        <v>0</v>
      </c>
      <c r="I194" s="97">
        <f t="shared" si="42"/>
        <v>0</v>
      </c>
      <c r="J194" s="97">
        <f t="shared" si="42"/>
        <v>0</v>
      </c>
      <c r="K194" s="97">
        <f t="shared" si="42"/>
        <v>0</v>
      </c>
      <c r="L194" s="97">
        <f t="shared" si="42"/>
        <v>0</v>
      </c>
      <c r="M194" s="97">
        <f t="shared" si="42"/>
        <v>0</v>
      </c>
      <c r="N194" s="97">
        <f t="shared" si="42"/>
        <v>0</v>
      </c>
      <c r="O194" s="97">
        <f t="shared" si="42"/>
        <v>0</v>
      </c>
      <c r="P194" s="97">
        <f t="shared" si="42"/>
        <v>0</v>
      </c>
      <c r="Q194" s="97">
        <f t="shared" si="42"/>
        <v>0</v>
      </c>
      <c r="R194" s="97">
        <f t="shared" si="42"/>
        <v>0</v>
      </c>
      <c r="S194" s="97">
        <f t="shared" si="42"/>
        <v>0</v>
      </c>
      <c r="T194" s="97">
        <f t="shared" si="42"/>
        <v>0</v>
      </c>
      <c r="U194" s="97">
        <f t="shared" si="42"/>
        <v>0</v>
      </c>
      <c r="V194" s="97">
        <f t="shared" si="42"/>
        <v>0</v>
      </c>
      <c r="W194" s="97">
        <f t="shared" si="42"/>
        <v>0</v>
      </c>
      <c r="X194" s="97">
        <f t="shared" si="42"/>
        <v>0</v>
      </c>
    </row>
    <row r="195" spans="1:24" hidden="1" outlineLevel="1" x14ac:dyDescent="0.25">
      <c r="A195" s="45" t="s">
        <v>78</v>
      </c>
      <c r="B195" s="135"/>
      <c r="C195" s="103"/>
      <c r="D195" s="58">
        <f>D194*IF($E$139&lt;&gt;0,$E$139,$G$139)</f>
        <v>0</v>
      </c>
      <c r="E195" s="58">
        <f t="shared" ref="E195:X195" si="43">E194*IF($E$139&lt;&gt;0,$E$139,$G$139)</f>
        <v>0</v>
      </c>
      <c r="F195" s="58">
        <f t="shared" si="43"/>
        <v>0</v>
      </c>
      <c r="G195" s="58">
        <f t="shared" si="43"/>
        <v>0</v>
      </c>
      <c r="H195" s="58">
        <f t="shared" si="43"/>
        <v>0</v>
      </c>
      <c r="I195" s="58">
        <f t="shared" si="43"/>
        <v>0</v>
      </c>
      <c r="J195" s="58">
        <f t="shared" si="43"/>
        <v>0</v>
      </c>
      <c r="K195" s="58">
        <f t="shared" si="43"/>
        <v>0</v>
      </c>
      <c r="L195" s="58">
        <f t="shared" si="43"/>
        <v>0</v>
      </c>
      <c r="M195" s="58">
        <f t="shared" si="43"/>
        <v>0</v>
      </c>
      <c r="N195" s="58">
        <f t="shared" si="43"/>
        <v>0</v>
      </c>
      <c r="O195" s="58">
        <f t="shared" si="43"/>
        <v>0</v>
      </c>
      <c r="P195" s="58">
        <f t="shared" si="43"/>
        <v>0</v>
      </c>
      <c r="Q195" s="58">
        <f t="shared" si="43"/>
        <v>0</v>
      </c>
      <c r="R195" s="58">
        <f t="shared" si="43"/>
        <v>0</v>
      </c>
      <c r="S195" s="58">
        <f t="shared" si="43"/>
        <v>0</v>
      </c>
      <c r="T195" s="58">
        <f t="shared" si="43"/>
        <v>0</v>
      </c>
      <c r="U195" s="58">
        <f t="shared" si="43"/>
        <v>0</v>
      </c>
      <c r="V195" s="58">
        <f t="shared" si="43"/>
        <v>0</v>
      </c>
      <c r="W195" s="58">
        <f t="shared" si="43"/>
        <v>0</v>
      </c>
      <c r="X195" s="58">
        <f t="shared" si="43"/>
        <v>0</v>
      </c>
    </row>
    <row r="196" spans="1:24" hidden="1" outlineLevel="1" x14ac:dyDescent="0.25">
      <c r="D196" s="41"/>
      <c r="E196" s="41"/>
      <c r="F196" s="41"/>
      <c r="G196" s="41"/>
      <c r="H196" s="41"/>
      <c r="I196" s="41"/>
      <c r="J196" s="41"/>
      <c r="K196" s="41"/>
      <c r="L196" s="41"/>
      <c r="M196" s="41"/>
      <c r="N196" s="41"/>
      <c r="O196" s="41"/>
      <c r="P196" s="41"/>
      <c r="Q196" s="41"/>
      <c r="R196" s="41"/>
      <c r="S196" s="41"/>
      <c r="T196" s="41"/>
      <c r="U196" s="41"/>
      <c r="V196" s="41"/>
      <c r="W196" s="41"/>
      <c r="X196" s="41"/>
    </row>
    <row r="197" spans="1:24" hidden="1" outlineLevel="1" x14ac:dyDescent="0.25">
      <c r="A197" s="95" t="s">
        <v>89</v>
      </c>
      <c r="B197" s="129"/>
      <c r="C197" s="122"/>
      <c r="D197" s="97">
        <f t="shared" ref="D197:X197" si="44">D190-D195-D148</f>
        <v>0</v>
      </c>
      <c r="E197" s="97">
        <f t="shared" si="44"/>
        <v>0</v>
      </c>
      <c r="F197" s="97">
        <f t="shared" si="44"/>
        <v>0</v>
      </c>
      <c r="G197" s="97">
        <f t="shared" si="44"/>
        <v>0</v>
      </c>
      <c r="H197" s="97">
        <f t="shared" si="44"/>
        <v>0</v>
      </c>
      <c r="I197" s="97">
        <f t="shared" si="44"/>
        <v>0</v>
      </c>
      <c r="J197" s="97">
        <f t="shared" si="44"/>
        <v>0</v>
      </c>
      <c r="K197" s="97">
        <f t="shared" si="44"/>
        <v>0</v>
      </c>
      <c r="L197" s="97">
        <f t="shared" si="44"/>
        <v>0</v>
      </c>
      <c r="M197" s="97">
        <f t="shared" si="44"/>
        <v>0</v>
      </c>
      <c r="N197" s="97">
        <f t="shared" si="44"/>
        <v>0</v>
      </c>
      <c r="O197" s="97">
        <f t="shared" si="44"/>
        <v>0</v>
      </c>
      <c r="P197" s="97">
        <f t="shared" si="44"/>
        <v>0</v>
      </c>
      <c r="Q197" s="97">
        <f t="shared" si="44"/>
        <v>0</v>
      </c>
      <c r="R197" s="97">
        <f t="shared" si="44"/>
        <v>0</v>
      </c>
      <c r="S197" s="97">
        <f t="shared" si="44"/>
        <v>0</v>
      </c>
      <c r="T197" s="97">
        <f t="shared" si="44"/>
        <v>0</v>
      </c>
      <c r="U197" s="97">
        <f t="shared" si="44"/>
        <v>0</v>
      </c>
      <c r="V197" s="97">
        <f t="shared" si="44"/>
        <v>0</v>
      </c>
      <c r="W197" s="97">
        <f t="shared" si="44"/>
        <v>0</v>
      </c>
      <c r="X197" s="97">
        <f t="shared" si="44"/>
        <v>0</v>
      </c>
    </row>
    <row r="198" spans="1:24" hidden="1" outlineLevel="1" x14ac:dyDescent="0.25">
      <c r="D198" s="41"/>
      <c r="E198" s="41"/>
      <c r="F198" s="41"/>
      <c r="G198" s="41"/>
      <c r="H198" s="41"/>
      <c r="I198" s="41"/>
      <c r="J198" s="41"/>
      <c r="K198" s="41"/>
      <c r="L198" s="41"/>
      <c r="M198" s="41"/>
      <c r="N198" s="41"/>
      <c r="O198" s="41"/>
      <c r="P198" s="41"/>
      <c r="Q198" s="41"/>
      <c r="R198" s="41"/>
      <c r="S198" s="41"/>
      <c r="T198" s="41"/>
      <c r="U198" s="41"/>
      <c r="V198" s="41"/>
      <c r="W198" s="41"/>
      <c r="X198" s="41"/>
    </row>
    <row r="199" spans="1:24" hidden="1" outlineLevel="1" x14ac:dyDescent="0.25">
      <c r="A199" s="44" t="s">
        <v>77</v>
      </c>
      <c r="B199" s="136"/>
      <c r="C199" s="128"/>
      <c r="D199" s="43" t="e">
        <f>IRR(D197:X197)</f>
        <v>#NUM!</v>
      </c>
      <c r="E199" s="42"/>
      <c r="F199" s="41"/>
      <c r="G199" s="41"/>
      <c r="H199" s="41"/>
      <c r="I199" s="41"/>
      <c r="J199" s="41"/>
      <c r="K199" s="41"/>
      <c r="L199" s="41"/>
      <c r="M199" s="41"/>
      <c r="N199" s="41"/>
      <c r="O199" s="41"/>
      <c r="P199" s="41"/>
      <c r="Q199" s="41"/>
      <c r="R199" s="41"/>
      <c r="S199" s="41"/>
      <c r="T199" s="41"/>
      <c r="U199" s="41"/>
      <c r="V199" s="41"/>
      <c r="W199" s="41"/>
      <c r="X199" s="41"/>
    </row>
    <row r="200" spans="1:24" ht="15.75" collapsed="1" thickBot="1" x14ac:dyDescent="0.3">
      <c r="D200" s="41"/>
      <c r="E200" s="41"/>
      <c r="F200" s="41"/>
      <c r="G200" s="41"/>
      <c r="H200" s="41"/>
      <c r="I200" s="41"/>
      <c r="J200" s="41"/>
      <c r="K200" s="41"/>
      <c r="L200" s="41"/>
      <c r="M200" s="41"/>
      <c r="N200" s="41"/>
      <c r="O200" s="41"/>
      <c r="P200" s="41"/>
      <c r="Q200" s="41"/>
      <c r="R200" s="41"/>
      <c r="S200" s="41"/>
      <c r="T200" s="41"/>
      <c r="U200" s="41"/>
      <c r="V200" s="41"/>
      <c r="W200" s="41"/>
      <c r="X200" s="41"/>
    </row>
    <row r="201" spans="1:24" s="265" customFormat="1" ht="39" customHeight="1" collapsed="1" thickBot="1" x14ac:dyDescent="0.3">
      <c r="A201" s="260" t="s">
        <v>180</v>
      </c>
      <c r="B201" s="261"/>
      <c r="C201" s="261"/>
      <c r="D201" s="580" t="s">
        <v>179</v>
      </c>
      <c r="E201" s="581"/>
      <c r="F201" s="261"/>
      <c r="G201" s="263"/>
      <c r="H201" s="263"/>
      <c r="I201" s="263"/>
      <c r="J201" s="263"/>
      <c r="K201" s="262"/>
      <c r="L201" s="262"/>
      <c r="M201" s="262"/>
      <c r="N201" s="262"/>
      <c r="O201" s="262"/>
      <c r="P201" s="262"/>
      <c r="Q201" s="262"/>
      <c r="R201" s="262"/>
      <c r="S201" s="262"/>
      <c r="T201" s="262"/>
      <c r="U201" s="262"/>
      <c r="V201" s="262"/>
      <c r="W201" s="262"/>
      <c r="X201" s="262"/>
    </row>
    <row r="202" spans="1:24" ht="15.75" hidden="1" outlineLevel="1" thickBot="1" x14ac:dyDescent="0.3">
      <c r="G202" s="121" t="s">
        <v>195</v>
      </c>
    </row>
    <row r="203" spans="1:24" hidden="1" outlineLevel="1" x14ac:dyDescent="0.25">
      <c r="A203" s="561" t="s">
        <v>183</v>
      </c>
      <c r="B203" s="564" t="s">
        <v>238</v>
      </c>
      <c r="C203" s="564"/>
      <c r="D203" s="564"/>
      <c r="E203" s="588"/>
      <c r="F203" s="589"/>
      <c r="G203" s="119"/>
    </row>
    <row r="204" spans="1:24" hidden="1" outlineLevel="1" x14ac:dyDescent="0.25">
      <c r="A204" s="562"/>
      <c r="B204" s="575" t="s">
        <v>73</v>
      </c>
      <c r="C204" s="575"/>
      <c r="D204" s="575"/>
      <c r="E204" s="590"/>
      <c r="F204" s="591"/>
      <c r="G204" s="120">
        <v>0.28000000000000003</v>
      </c>
    </row>
    <row r="205" spans="1:24" hidden="1" outlineLevel="1" x14ac:dyDescent="0.25">
      <c r="A205" s="562"/>
      <c r="B205" s="575" t="s">
        <v>184</v>
      </c>
      <c r="C205" s="575"/>
      <c r="D205" s="575"/>
      <c r="E205" s="592"/>
      <c r="F205" s="593"/>
      <c r="G205" s="116"/>
    </row>
    <row r="206" spans="1:24" hidden="1" outlineLevel="1" x14ac:dyDescent="0.25">
      <c r="A206" s="562"/>
      <c r="B206" s="575" t="s">
        <v>185</v>
      </c>
      <c r="C206" s="575"/>
      <c r="D206" s="575"/>
      <c r="E206" s="590"/>
      <c r="F206" s="591"/>
      <c r="G206" s="117">
        <f>Sources!C$10</f>
        <v>1.9400000000000001E-2</v>
      </c>
    </row>
    <row r="207" spans="1:24" hidden="1" outlineLevel="1" x14ac:dyDescent="0.25">
      <c r="A207" s="562"/>
      <c r="B207" s="575" t="s">
        <v>186</v>
      </c>
      <c r="C207" s="575"/>
      <c r="D207" s="575"/>
      <c r="E207" s="594"/>
      <c r="F207" s="595"/>
      <c r="G207" s="116"/>
    </row>
    <row r="208" spans="1:24" hidden="1" outlineLevel="1" x14ac:dyDescent="0.25">
      <c r="A208" s="562"/>
      <c r="B208" s="575" t="s">
        <v>187</v>
      </c>
      <c r="C208" s="575"/>
      <c r="D208" s="575"/>
      <c r="E208" s="576"/>
      <c r="F208" s="577"/>
      <c r="G208" s="116"/>
    </row>
    <row r="209" spans="1:25" ht="15.75" hidden="1" outlineLevel="1" thickBot="1" x14ac:dyDescent="0.3">
      <c r="A209" s="563"/>
      <c r="B209" s="560" t="s">
        <v>192</v>
      </c>
      <c r="C209" s="560"/>
      <c r="D209" s="560"/>
      <c r="E209" s="578"/>
      <c r="F209" s="579"/>
      <c r="G209" s="118"/>
    </row>
    <row r="210" spans="1:25" hidden="1" outlineLevel="1" x14ac:dyDescent="0.25"/>
    <row r="211" spans="1:25" hidden="1" outlineLevel="1" x14ac:dyDescent="0.25">
      <c r="A211" s="95" t="s">
        <v>82</v>
      </c>
      <c r="B211" s="129"/>
      <c r="C211" s="122"/>
      <c r="D211" s="96">
        <v>0</v>
      </c>
      <c r="E211" s="96">
        <v>1</v>
      </c>
      <c r="F211" s="96">
        <v>2</v>
      </c>
      <c r="G211" s="96">
        <v>3</v>
      </c>
      <c r="H211" s="96">
        <v>4</v>
      </c>
      <c r="I211" s="96">
        <v>5</v>
      </c>
      <c r="J211" s="96">
        <v>6</v>
      </c>
      <c r="K211" s="96">
        <v>7</v>
      </c>
      <c r="L211" s="96">
        <v>8</v>
      </c>
      <c r="M211" s="96">
        <v>9</v>
      </c>
      <c r="N211" s="96">
        <v>10</v>
      </c>
      <c r="O211" s="96">
        <v>11</v>
      </c>
      <c r="P211" s="96">
        <v>12</v>
      </c>
      <c r="Q211" s="96">
        <v>13</v>
      </c>
      <c r="R211" s="96">
        <v>14</v>
      </c>
      <c r="S211" s="96">
        <v>15</v>
      </c>
      <c r="T211" s="96">
        <v>16</v>
      </c>
      <c r="U211" s="96">
        <v>17</v>
      </c>
      <c r="V211" s="96">
        <v>18</v>
      </c>
      <c r="W211" s="96">
        <v>19</v>
      </c>
      <c r="X211" s="96">
        <v>20</v>
      </c>
    </row>
    <row r="212" spans="1:25" hidden="1" outlineLevel="1" x14ac:dyDescent="0.25"/>
    <row r="213" spans="1:25" s="149" customFormat="1" hidden="1" outlineLevel="1" x14ac:dyDescent="0.25">
      <c r="A213" s="95" t="s">
        <v>205</v>
      </c>
      <c r="B213" s="146"/>
      <c r="C213" s="147">
        <f>C214-C215-C216</f>
        <v>0</v>
      </c>
      <c r="D213" s="97">
        <f>D214-D215-D216</f>
        <v>0</v>
      </c>
      <c r="E213" s="97">
        <f t="shared" ref="E213" si="45">E214-E215-E216</f>
        <v>0</v>
      </c>
      <c r="F213" s="97">
        <f t="shared" ref="F213" si="46">F214-F215-F216</f>
        <v>0</v>
      </c>
      <c r="G213" s="97">
        <f t="shared" ref="G213" si="47">G214-G215-G216</f>
        <v>0</v>
      </c>
      <c r="H213" s="97">
        <f t="shared" ref="H213" si="48">H214-H215-H216</f>
        <v>0</v>
      </c>
      <c r="I213" s="97">
        <f t="shared" ref="I213" si="49">I214-I215-I216</f>
        <v>0</v>
      </c>
      <c r="J213" s="97">
        <f t="shared" ref="J213" si="50">J214-J215-J216</f>
        <v>0</v>
      </c>
      <c r="K213" s="97">
        <f t="shared" ref="K213" si="51">K214-K215-K216</f>
        <v>0</v>
      </c>
      <c r="L213" s="97">
        <f t="shared" ref="L213" si="52">L214-L215-L216</f>
        <v>0</v>
      </c>
      <c r="M213" s="97">
        <f t="shared" ref="M213" si="53">M214-M215-M216</f>
        <v>0</v>
      </c>
      <c r="N213" s="97">
        <f t="shared" ref="N213" si="54">N214-N215-N216</f>
        <v>0</v>
      </c>
      <c r="O213" s="97">
        <f t="shared" ref="O213" si="55">O214-O215-O216</f>
        <v>0</v>
      </c>
      <c r="P213" s="97">
        <f t="shared" ref="P213" si="56">P214-P215-P216</f>
        <v>0</v>
      </c>
      <c r="Q213" s="97">
        <f t="shared" ref="Q213" si="57">Q214-Q215-Q216</f>
        <v>0</v>
      </c>
      <c r="R213" s="97">
        <f t="shared" ref="R213" si="58">R214-R215-R216</f>
        <v>0</v>
      </c>
      <c r="S213" s="97">
        <f t="shared" ref="S213" si="59">S214-S215-S216</f>
        <v>0</v>
      </c>
      <c r="T213" s="97">
        <f t="shared" ref="T213" si="60">T214-T215-T216</f>
        <v>0</v>
      </c>
      <c r="U213" s="97">
        <f t="shared" ref="U213" si="61">U214-U215-U216</f>
        <v>0</v>
      </c>
      <c r="V213" s="97">
        <f t="shared" ref="V213" si="62">V214-V215-V216</f>
        <v>0</v>
      </c>
      <c r="W213" s="97">
        <f t="shared" ref="W213" si="63">W214-W215-W216</f>
        <v>0</v>
      </c>
      <c r="X213" s="97">
        <f t="shared" ref="X213" si="64">X214-X215-X216</f>
        <v>0</v>
      </c>
      <c r="Y213" s="148"/>
    </row>
    <row r="214" spans="1:25" hidden="1" outlineLevel="1" x14ac:dyDescent="0.25">
      <c r="A214" s="45" t="s">
        <v>206</v>
      </c>
      <c r="B214" s="137"/>
      <c r="C214" s="138">
        <f>SUM(D214:X214)</f>
        <v>0</v>
      </c>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91"/>
    </row>
    <row r="215" spans="1:25" hidden="1" outlineLevel="1" x14ac:dyDescent="0.25">
      <c r="A215" s="102" t="s">
        <v>145</v>
      </c>
      <c r="B215" s="137"/>
      <c r="C215" s="138">
        <f>SUM(D215:X215)</f>
        <v>0</v>
      </c>
      <c r="D215" s="212"/>
      <c r="E215" s="212"/>
      <c r="F215" s="212"/>
      <c r="G215" s="212"/>
      <c r="H215" s="212"/>
      <c r="I215" s="212"/>
      <c r="J215" s="212"/>
      <c r="K215" s="212"/>
      <c r="L215" s="212"/>
      <c r="M215" s="212"/>
      <c r="N215" s="212"/>
      <c r="O215" s="212"/>
      <c r="P215" s="212"/>
      <c r="Q215" s="212"/>
      <c r="R215" s="212"/>
      <c r="S215" s="212"/>
      <c r="T215" s="212"/>
      <c r="U215" s="212"/>
      <c r="V215" s="212"/>
      <c r="W215" s="212"/>
      <c r="X215" s="212"/>
      <c r="Y215" s="91"/>
    </row>
    <row r="216" spans="1:25" hidden="1" outlineLevel="1" x14ac:dyDescent="0.25">
      <c r="A216" s="45" t="s">
        <v>146</v>
      </c>
      <c r="B216" s="135"/>
      <c r="C216" s="138">
        <f>SUM(D216:X216)</f>
        <v>0</v>
      </c>
      <c r="D216" s="211"/>
      <c r="E216" s="211"/>
      <c r="F216" s="211"/>
      <c r="G216" s="211"/>
      <c r="H216" s="211"/>
      <c r="I216" s="211"/>
      <c r="J216" s="211"/>
      <c r="K216" s="211"/>
      <c r="L216" s="211"/>
      <c r="M216" s="211"/>
      <c r="N216" s="211"/>
      <c r="O216" s="211"/>
      <c r="P216" s="211"/>
      <c r="Q216" s="211"/>
      <c r="R216" s="211"/>
      <c r="S216" s="211"/>
      <c r="T216" s="211"/>
      <c r="U216" s="211"/>
      <c r="V216" s="211"/>
      <c r="W216" s="211"/>
      <c r="X216" s="211"/>
    </row>
    <row r="217" spans="1:25" hidden="1" outlineLevel="1" x14ac:dyDescent="0.25">
      <c r="D217" s="54"/>
      <c r="E217" s="54"/>
      <c r="F217" s="54"/>
      <c r="G217" s="54"/>
      <c r="H217" s="54"/>
      <c r="I217" s="54"/>
      <c r="J217" s="54"/>
      <c r="K217" s="54"/>
      <c r="L217" s="54"/>
      <c r="M217" s="54"/>
      <c r="N217" s="54"/>
      <c r="O217" s="54"/>
      <c r="P217" s="54"/>
      <c r="Q217" s="54"/>
      <c r="R217" s="54"/>
      <c r="S217" s="54"/>
      <c r="T217" s="54"/>
      <c r="U217" s="54"/>
      <c r="V217" s="54"/>
      <c r="W217" s="54"/>
      <c r="X217" s="54"/>
    </row>
    <row r="218" spans="1:25" hidden="1" outlineLevel="1" x14ac:dyDescent="0.25">
      <c r="A218" s="95" t="s">
        <v>138</v>
      </c>
      <c r="B218" s="129"/>
      <c r="C218" s="122"/>
      <c r="D218" s="97">
        <f>D219+D283+D305</f>
        <v>0</v>
      </c>
      <c r="E218" s="97" t="e">
        <f t="shared" ref="E218:X218" si="65">E219+E283+E305</f>
        <v>#VALUE!</v>
      </c>
      <c r="F218" s="97" t="e">
        <f t="shared" si="65"/>
        <v>#VALUE!</v>
      </c>
      <c r="G218" s="97" t="e">
        <f t="shared" si="65"/>
        <v>#VALUE!</v>
      </c>
      <c r="H218" s="97" t="e">
        <f t="shared" si="65"/>
        <v>#VALUE!</v>
      </c>
      <c r="I218" s="97" t="e">
        <f t="shared" si="65"/>
        <v>#VALUE!</v>
      </c>
      <c r="J218" s="97" t="e">
        <f t="shared" si="65"/>
        <v>#VALUE!</v>
      </c>
      <c r="K218" s="97" t="e">
        <f t="shared" si="65"/>
        <v>#VALUE!</v>
      </c>
      <c r="L218" s="97" t="e">
        <f t="shared" si="65"/>
        <v>#VALUE!</v>
      </c>
      <c r="M218" s="97" t="e">
        <f t="shared" si="65"/>
        <v>#VALUE!</v>
      </c>
      <c r="N218" s="97" t="e">
        <f t="shared" si="65"/>
        <v>#VALUE!</v>
      </c>
      <c r="O218" s="97" t="e">
        <f t="shared" si="65"/>
        <v>#VALUE!</v>
      </c>
      <c r="P218" s="97" t="e">
        <f t="shared" si="65"/>
        <v>#VALUE!</v>
      </c>
      <c r="Q218" s="97" t="e">
        <f t="shared" si="65"/>
        <v>#VALUE!</v>
      </c>
      <c r="R218" s="97" t="e">
        <f t="shared" si="65"/>
        <v>#VALUE!</v>
      </c>
      <c r="S218" s="97" t="e">
        <f t="shared" si="65"/>
        <v>#VALUE!</v>
      </c>
      <c r="T218" s="97" t="e">
        <f t="shared" si="65"/>
        <v>#VALUE!</v>
      </c>
      <c r="U218" s="97" t="e">
        <f t="shared" si="65"/>
        <v>#VALUE!</v>
      </c>
      <c r="V218" s="97" t="e">
        <f t="shared" si="65"/>
        <v>#VALUE!</v>
      </c>
      <c r="W218" s="97" t="e">
        <f t="shared" si="65"/>
        <v>#VALUE!</v>
      </c>
      <c r="X218" s="97" t="e">
        <f t="shared" si="65"/>
        <v>#VALUE!</v>
      </c>
    </row>
    <row r="219" spans="1:25" hidden="1" outlineLevel="1" x14ac:dyDescent="0.25">
      <c r="A219" s="92" t="s">
        <v>139</v>
      </c>
      <c r="B219" s="93"/>
      <c r="C219" s="123"/>
      <c r="D219" s="94">
        <f t="shared" ref="D219" si="66">D222+D225+D228+D231+D234+D237+D240+D243+D246+D249+D281</f>
        <v>0</v>
      </c>
      <c r="E219" s="94" t="e">
        <f>E222+E225+E228+E231+E234+E237+E240+E243+E246+E249+E281</f>
        <v>#VALUE!</v>
      </c>
      <c r="F219" s="94" t="e">
        <f t="shared" ref="F219:X219" si="67">F222+F225+F228+F231+F234+F237+F240+F243+F246+F249+F281</f>
        <v>#VALUE!</v>
      </c>
      <c r="G219" s="94" t="e">
        <f t="shared" si="67"/>
        <v>#VALUE!</v>
      </c>
      <c r="H219" s="94" t="e">
        <f t="shared" si="67"/>
        <v>#VALUE!</v>
      </c>
      <c r="I219" s="94" t="e">
        <f t="shared" si="67"/>
        <v>#VALUE!</v>
      </c>
      <c r="J219" s="94" t="e">
        <f t="shared" si="67"/>
        <v>#VALUE!</v>
      </c>
      <c r="K219" s="94" t="e">
        <f t="shared" si="67"/>
        <v>#VALUE!</v>
      </c>
      <c r="L219" s="94" t="e">
        <f t="shared" si="67"/>
        <v>#VALUE!</v>
      </c>
      <c r="M219" s="94" t="e">
        <f t="shared" si="67"/>
        <v>#VALUE!</v>
      </c>
      <c r="N219" s="94" t="e">
        <f t="shared" si="67"/>
        <v>#VALUE!</v>
      </c>
      <c r="O219" s="94" t="e">
        <f t="shared" si="67"/>
        <v>#VALUE!</v>
      </c>
      <c r="P219" s="94" t="e">
        <f t="shared" si="67"/>
        <v>#VALUE!</v>
      </c>
      <c r="Q219" s="94" t="e">
        <f t="shared" si="67"/>
        <v>#VALUE!</v>
      </c>
      <c r="R219" s="94" t="e">
        <f t="shared" si="67"/>
        <v>#VALUE!</v>
      </c>
      <c r="S219" s="94" t="e">
        <f t="shared" si="67"/>
        <v>#VALUE!</v>
      </c>
      <c r="T219" s="94" t="e">
        <f t="shared" si="67"/>
        <v>#VALUE!</v>
      </c>
      <c r="U219" s="94" t="e">
        <f t="shared" si="67"/>
        <v>#VALUE!</v>
      </c>
      <c r="V219" s="94" t="e">
        <f t="shared" si="67"/>
        <v>#VALUE!</v>
      </c>
      <c r="W219" s="94" t="e">
        <f t="shared" si="67"/>
        <v>#VALUE!</v>
      </c>
      <c r="X219" s="94" t="e">
        <f t="shared" si="67"/>
        <v>#VALUE!</v>
      </c>
    </row>
    <row r="220" spans="1:25" hidden="1" outlineLevel="2" x14ac:dyDescent="0.25">
      <c r="A220" s="555" t="str">
        <f>Hypothèses!A9</f>
        <v>Véhicule n°1</v>
      </c>
      <c r="B220" s="130" t="s">
        <v>65</v>
      </c>
      <c r="C220" s="124"/>
      <c r="D220" s="50"/>
      <c r="E220" s="213"/>
      <c r="F220" s="213"/>
      <c r="G220" s="213"/>
      <c r="H220" s="213"/>
      <c r="I220" s="213"/>
      <c r="J220" s="213"/>
      <c r="K220" s="213"/>
      <c r="L220" s="213"/>
      <c r="M220" s="213"/>
      <c r="N220" s="213"/>
      <c r="O220" s="213"/>
      <c r="P220" s="213"/>
      <c r="Q220" s="213"/>
      <c r="R220" s="213"/>
      <c r="S220" s="213"/>
      <c r="T220" s="213"/>
      <c r="U220" s="213"/>
      <c r="V220" s="213"/>
      <c r="W220" s="213"/>
      <c r="X220" s="213"/>
    </row>
    <row r="221" spans="1:25" hidden="1" outlineLevel="2" x14ac:dyDescent="0.25">
      <c r="A221" s="556"/>
      <c r="B221" s="46" t="s">
        <v>140</v>
      </c>
      <c r="C221" s="46"/>
      <c r="D221" s="87"/>
      <c r="E221" s="52" t="e">
        <f>E220*VLOOKUP($A220,Hypothèses!$A$9:$H$18,5,FALSE)</f>
        <v>#VALUE!</v>
      </c>
      <c r="F221" s="52" t="e">
        <f>F220*VLOOKUP($A220,Hypothèses!$A$9:$H$18,5,FALSE)</f>
        <v>#VALUE!</v>
      </c>
      <c r="G221" s="52" t="e">
        <f>G220*VLOOKUP($A220,Hypothèses!$A$9:$H$18,5,FALSE)</f>
        <v>#VALUE!</v>
      </c>
      <c r="H221" s="52" t="e">
        <f>H220*VLOOKUP($A220,Hypothèses!$A$9:$H$18,5,FALSE)</f>
        <v>#VALUE!</v>
      </c>
      <c r="I221" s="52" t="e">
        <f>I220*VLOOKUP($A220,Hypothèses!$A$9:$H$18,5,FALSE)</f>
        <v>#VALUE!</v>
      </c>
      <c r="J221" s="52" t="e">
        <f>J220*VLOOKUP($A220,Hypothèses!$A$9:$H$18,5,FALSE)</f>
        <v>#VALUE!</v>
      </c>
      <c r="K221" s="52" t="e">
        <f>K220*VLOOKUP($A220,Hypothèses!$A$9:$H$18,5,FALSE)</f>
        <v>#VALUE!</v>
      </c>
      <c r="L221" s="52" t="e">
        <f>L220*VLOOKUP($A220,Hypothèses!$A$9:$H$18,5,FALSE)</f>
        <v>#VALUE!</v>
      </c>
      <c r="M221" s="52" t="e">
        <f>M220*VLOOKUP($A220,Hypothèses!$A$9:$H$18,5,FALSE)</f>
        <v>#VALUE!</v>
      </c>
      <c r="N221" s="52" t="e">
        <f>N220*VLOOKUP($A220,Hypothèses!$A$9:$H$18,5,FALSE)</f>
        <v>#VALUE!</v>
      </c>
      <c r="O221" s="52" t="e">
        <f>O220*VLOOKUP($A220,Hypothèses!$A$9:$H$18,5,FALSE)</f>
        <v>#VALUE!</v>
      </c>
      <c r="P221" s="52" t="e">
        <f>P220*VLOOKUP($A220,Hypothèses!$A$9:$H$18,5,FALSE)</f>
        <v>#VALUE!</v>
      </c>
      <c r="Q221" s="52" t="e">
        <f>Q220*VLOOKUP($A220,Hypothèses!$A$9:$H$18,5,FALSE)</f>
        <v>#VALUE!</v>
      </c>
      <c r="R221" s="52" t="e">
        <f>R220*VLOOKUP($A220,Hypothèses!$A$9:$H$18,5,FALSE)</f>
        <v>#VALUE!</v>
      </c>
      <c r="S221" s="52" t="e">
        <f>S220*VLOOKUP($A220,Hypothèses!$A$9:$H$18,5,FALSE)</f>
        <v>#VALUE!</v>
      </c>
      <c r="T221" s="52" t="e">
        <f>T220*VLOOKUP($A220,Hypothèses!$A$9:$H$18,5,FALSE)</f>
        <v>#VALUE!</v>
      </c>
      <c r="U221" s="52" t="e">
        <f>U220*VLOOKUP($A220,Hypothèses!$A$9:$H$18,5,FALSE)</f>
        <v>#VALUE!</v>
      </c>
      <c r="V221" s="52" t="e">
        <f>V220*VLOOKUP($A220,Hypothèses!$A$9:$H$18,5,FALSE)</f>
        <v>#VALUE!</v>
      </c>
      <c r="W221" s="52" t="e">
        <f>W220*VLOOKUP($A220,Hypothèses!$A$9:$H$18,5,FALSE)</f>
        <v>#VALUE!</v>
      </c>
      <c r="X221" s="52" t="e">
        <f>X220*VLOOKUP($A220,Hypothèses!$A$9:$H$18,5,FALSE)</f>
        <v>#VALUE!</v>
      </c>
    </row>
    <row r="222" spans="1:25" hidden="1" outlineLevel="2" x14ac:dyDescent="0.25">
      <c r="A222" s="557"/>
      <c r="B222" s="46" t="s">
        <v>138</v>
      </c>
      <c r="C222" s="46"/>
      <c r="D222" s="48"/>
      <c r="E222" s="52" t="e">
        <f>E221*VLOOKUP($A220,Hypothèses!$A$9:$H$18,7,FALSE)*(1+$E$209)^(E$211-1)/1000</f>
        <v>#VALUE!</v>
      </c>
      <c r="F222" s="52" t="e">
        <f>F221*VLOOKUP($A220,Hypothèses!$A$9:$H$18,7,FALSE)*(1+$E$209)^(F$211-1)/1000</f>
        <v>#VALUE!</v>
      </c>
      <c r="G222" s="52" t="e">
        <f>G221*VLOOKUP($A220,Hypothèses!$A$9:$H$18,7,FALSE)*(1+$E$209)^(G$211-1)/1000</f>
        <v>#VALUE!</v>
      </c>
      <c r="H222" s="52" t="e">
        <f>H221*VLOOKUP($A220,Hypothèses!$A$9:$H$18,7,FALSE)*(1+$E$209)^(H$211-1)/1000</f>
        <v>#VALUE!</v>
      </c>
      <c r="I222" s="52" t="e">
        <f>I221*VLOOKUP($A220,Hypothèses!$A$9:$H$18,7,FALSE)*(1+$E$209)^(I$211-1)/1000</f>
        <v>#VALUE!</v>
      </c>
      <c r="J222" s="52" t="e">
        <f>J221*VLOOKUP($A220,Hypothèses!$A$9:$H$18,7,FALSE)*(1+$E$209)^(J$211-1)/1000</f>
        <v>#VALUE!</v>
      </c>
      <c r="K222" s="52" t="e">
        <f>K221*VLOOKUP($A220,Hypothèses!$A$9:$H$18,7,FALSE)*(1+$E$209)^(K$211-1)/1000</f>
        <v>#VALUE!</v>
      </c>
      <c r="L222" s="52" t="e">
        <f>L221*VLOOKUP($A220,Hypothèses!$A$9:$H$18,7,FALSE)*(1+$E$209)^(L$211-1)/1000</f>
        <v>#VALUE!</v>
      </c>
      <c r="M222" s="52" t="e">
        <f>M221*VLOOKUP($A220,Hypothèses!$A$9:$H$18,7,FALSE)*(1+$E$209)^(M$211-1)/1000</f>
        <v>#VALUE!</v>
      </c>
      <c r="N222" s="52" t="e">
        <f>N221*VLOOKUP($A220,Hypothèses!$A$9:$H$18,7,FALSE)*(1+$E$209)^(N$211-1)/1000</f>
        <v>#VALUE!</v>
      </c>
      <c r="O222" s="52" t="e">
        <f>O221*VLOOKUP($A220,Hypothèses!$A$9:$H$18,7,FALSE)*(1+$E$209)^(O$211-1)/1000</f>
        <v>#VALUE!</v>
      </c>
      <c r="P222" s="52" t="e">
        <f>P221*VLOOKUP($A220,Hypothèses!$A$9:$H$18,7,FALSE)*(1+$E$209)^(P$211-1)/1000</f>
        <v>#VALUE!</v>
      </c>
      <c r="Q222" s="52" t="e">
        <f>Q221*VLOOKUP($A220,Hypothèses!$A$9:$H$18,7,FALSE)*(1+$E$209)^(Q$211-1)/1000</f>
        <v>#VALUE!</v>
      </c>
      <c r="R222" s="52" t="e">
        <f>R221*VLOOKUP($A220,Hypothèses!$A$9:$H$18,7,FALSE)*(1+$E$209)^(R$211-1)/1000</f>
        <v>#VALUE!</v>
      </c>
      <c r="S222" s="52" t="e">
        <f>S221*VLOOKUP($A220,Hypothèses!$A$9:$H$18,7,FALSE)*(1+$E$209)^(S$211-1)/1000</f>
        <v>#VALUE!</v>
      </c>
      <c r="T222" s="52" t="e">
        <f>T221*VLOOKUP($A220,Hypothèses!$A$9:$H$18,7,FALSE)*(1+$E$209)^(T$211-1)/1000</f>
        <v>#VALUE!</v>
      </c>
      <c r="U222" s="52" t="e">
        <f>U221*VLOOKUP($A220,Hypothèses!$A$9:$H$18,7,FALSE)*(1+$E$209)^(U$211-1)/1000</f>
        <v>#VALUE!</v>
      </c>
      <c r="V222" s="52" t="e">
        <f>V221*VLOOKUP($A220,Hypothèses!$A$9:$H$18,7,FALSE)*(1+$E$209)^(V$211-1)/1000</f>
        <v>#VALUE!</v>
      </c>
      <c r="W222" s="52" t="e">
        <f>W221*VLOOKUP($A220,Hypothèses!$A$9:$H$18,7,FALSE)*(1+$E$209)^(W$211-1)/1000</f>
        <v>#VALUE!</v>
      </c>
      <c r="X222" s="52" t="e">
        <f>X221*VLOOKUP($A220,Hypothèses!$A$9:$H$18,7,FALSE)*(1+$E$209)^(X$211-1)/1000</f>
        <v>#VALUE!</v>
      </c>
    </row>
    <row r="223" spans="1:25" hidden="1" outlineLevel="2" x14ac:dyDescent="0.25">
      <c r="A223" s="555" t="str">
        <f>Hypothèses!A10</f>
        <v>Véhicule n°2</v>
      </c>
      <c r="B223" s="130" t="s">
        <v>65</v>
      </c>
      <c r="C223" s="124"/>
      <c r="D223" s="50"/>
      <c r="E223" s="213"/>
      <c r="F223" s="213"/>
      <c r="G223" s="213"/>
      <c r="H223" s="213"/>
      <c r="I223" s="213"/>
      <c r="J223" s="213"/>
      <c r="K223" s="213"/>
      <c r="L223" s="213"/>
      <c r="M223" s="213"/>
      <c r="N223" s="213"/>
      <c r="O223" s="213"/>
      <c r="P223" s="213"/>
      <c r="Q223" s="213"/>
      <c r="R223" s="213"/>
      <c r="S223" s="213"/>
      <c r="T223" s="213"/>
      <c r="U223" s="213"/>
      <c r="V223" s="213"/>
      <c r="W223" s="213"/>
      <c r="X223" s="213"/>
    </row>
    <row r="224" spans="1:25" hidden="1" outlineLevel="2" x14ac:dyDescent="0.25">
      <c r="A224" s="556"/>
      <c r="B224" s="46" t="s">
        <v>140</v>
      </c>
      <c r="C224" s="46"/>
      <c r="D224" s="87"/>
      <c r="E224" s="52">
        <f>E223*VLOOKUP($A223,Hypothèses!$A$9:$H$28,6,FALSE)</f>
        <v>0</v>
      </c>
      <c r="F224" s="52">
        <f>F223*VLOOKUP($A223,Hypothèses!$A$9:$H$28,6,FALSE)</f>
        <v>0</v>
      </c>
      <c r="G224" s="52">
        <f>G223*VLOOKUP($A223,Hypothèses!$A$9:$H$28,6,FALSE)</f>
        <v>0</v>
      </c>
      <c r="H224" s="52">
        <f>H223*VLOOKUP($A223,Hypothèses!$A$9:$H$28,6,FALSE)</f>
        <v>0</v>
      </c>
      <c r="I224" s="52">
        <f>I223*VLOOKUP($A223,Hypothèses!$A$9:$H$28,6,FALSE)</f>
        <v>0</v>
      </c>
      <c r="J224" s="52">
        <f>J223*VLOOKUP($A223,Hypothèses!$A$9:$H$28,6,FALSE)</f>
        <v>0</v>
      </c>
      <c r="K224" s="52">
        <f>K223*VLOOKUP($A223,Hypothèses!$A$9:$H$28,6,FALSE)</f>
        <v>0</v>
      </c>
      <c r="L224" s="52">
        <f>L223*VLOOKUP($A223,Hypothèses!$A$9:$H$28,6,FALSE)</f>
        <v>0</v>
      </c>
      <c r="M224" s="52">
        <f>M223*VLOOKUP($A223,Hypothèses!$A$9:$H$28,6,FALSE)</f>
        <v>0</v>
      </c>
      <c r="N224" s="52">
        <f>N223*VLOOKUP($A223,Hypothèses!$A$9:$H$28,6,FALSE)</f>
        <v>0</v>
      </c>
      <c r="O224" s="52">
        <f>O223*VLOOKUP($A223,Hypothèses!$A$9:$H$28,6,FALSE)</f>
        <v>0</v>
      </c>
      <c r="P224" s="52">
        <f>P223*VLOOKUP($A223,Hypothèses!$A$9:$H$28,6,FALSE)</f>
        <v>0</v>
      </c>
      <c r="Q224" s="52">
        <f>Q223*VLOOKUP($A223,Hypothèses!$A$9:$H$28,6,FALSE)</f>
        <v>0</v>
      </c>
      <c r="R224" s="52">
        <f>R223*VLOOKUP($A223,Hypothèses!$A$9:$H$28,6,FALSE)</f>
        <v>0</v>
      </c>
      <c r="S224" s="52">
        <f>S223*VLOOKUP($A223,Hypothèses!$A$9:$H$28,6,FALSE)</f>
        <v>0</v>
      </c>
      <c r="T224" s="52">
        <f>T223*VLOOKUP($A223,Hypothèses!$A$9:$H$28,6,FALSE)</f>
        <v>0</v>
      </c>
      <c r="U224" s="52">
        <f>U223*VLOOKUP($A223,Hypothèses!$A$9:$H$28,6,FALSE)</f>
        <v>0</v>
      </c>
      <c r="V224" s="52">
        <f>V223*VLOOKUP($A223,Hypothèses!$A$9:$H$28,6,FALSE)</f>
        <v>0</v>
      </c>
      <c r="W224" s="52">
        <f>W223*VLOOKUP($A223,Hypothèses!$A$9:$H$28,6,FALSE)</f>
        <v>0</v>
      </c>
      <c r="X224" s="52">
        <f>X223*VLOOKUP($A223,Hypothèses!$A$9:$H$28,6,FALSE)</f>
        <v>0</v>
      </c>
    </row>
    <row r="225" spans="1:24" hidden="1" outlineLevel="2" x14ac:dyDescent="0.25">
      <c r="A225" s="557"/>
      <c r="B225" s="46" t="s">
        <v>138</v>
      </c>
      <c r="C225" s="46"/>
      <c r="D225" s="48"/>
      <c r="E225" s="52">
        <f>E224*VLOOKUP($A223,Hypothèses!$A$9:$H$28,8,FALSE)*(1+$E$19)^(E$21-1)/1000</f>
        <v>0</v>
      </c>
      <c r="F225" s="52">
        <f>F224*VLOOKUP($A223,Hypothèses!$A$9:$H$28,8,FALSE)*(1+$E$19)^(F$21-1)/1000</f>
        <v>0</v>
      </c>
      <c r="G225" s="52">
        <f>G224*VLOOKUP($A223,Hypothèses!$A$9:$H$28,8,FALSE)*(1+$E$19)^(G$21-1)/1000</f>
        <v>0</v>
      </c>
      <c r="H225" s="52">
        <f>H224*VLOOKUP($A223,Hypothèses!$A$9:$H$28,8,FALSE)*(1+$E$19)^(H$21-1)/1000</f>
        <v>0</v>
      </c>
      <c r="I225" s="52">
        <f>I224*VLOOKUP($A223,Hypothèses!$A$9:$H$28,8,FALSE)*(1+$E$19)^(I$21-1)/1000</f>
        <v>0</v>
      </c>
      <c r="J225" s="52">
        <f>J224*VLOOKUP($A223,Hypothèses!$A$9:$H$28,8,FALSE)*(1+$E$19)^(J$21-1)/1000</f>
        <v>0</v>
      </c>
      <c r="K225" s="52">
        <f>K224*VLOOKUP($A223,Hypothèses!$A$9:$H$28,8,FALSE)*(1+$E$19)^(K$21-1)/1000</f>
        <v>0</v>
      </c>
      <c r="L225" s="52">
        <f>L224*VLOOKUP($A223,Hypothèses!$A$9:$H$28,8,FALSE)*(1+$E$19)^(L$21-1)/1000</f>
        <v>0</v>
      </c>
      <c r="M225" s="52">
        <f>M224*VLOOKUP($A223,Hypothèses!$A$9:$H$28,8,FALSE)*(1+$E$19)^(M$21-1)/1000</f>
        <v>0</v>
      </c>
      <c r="N225" s="52">
        <f>N224*VLOOKUP($A223,Hypothèses!$A$9:$H$28,8,FALSE)*(1+$E$19)^(N$21-1)/1000</f>
        <v>0</v>
      </c>
      <c r="O225" s="52">
        <f>O224*VLOOKUP($A223,Hypothèses!$A$9:$H$28,8,FALSE)*(1+$E$19)^(O$21-1)/1000</f>
        <v>0</v>
      </c>
      <c r="P225" s="52">
        <f>P224*VLOOKUP($A223,Hypothèses!$A$9:$H$28,8,FALSE)*(1+$E$19)^(P$21-1)/1000</f>
        <v>0</v>
      </c>
      <c r="Q225" s="52">
        <f>Q224*VLOOKUP($A223,Hypothèses!$A$9:$H$28,8,FALSE)*(1+$E$19)^(Q$21-1)/1000</f>
        <v>0</v>
      </c>
      <c r="R225" s="52">
        <f>R224*VLOOKUP($A223,Hypothèses!$A$9:$H$28,8,FALSE)*(1+$E$19)^(R$21-1)/1000</f>
        <v>0</v>
      </c>
      <c r="S225" s="52">
        <f>S224*VLOOKUP($A223,Hypothèses!$A$9:$H$28,8,FALSE)*(1+$E$19)^(S$21-1)/1000</f>
        <v>0</v>
      </c>
      <c r="T225" s="52">
        <f>T224*VLOOKUP($A223,Hypothèses!$A$9:$H$28,8,FALSE)*(1+$E$19)^(T$21-1)/1000</f>
        <v>0</v>
      </c>
      <c r="U225" s="52">
        <f>U224*VLOOKUP($A223,Hypothèses!$A$9:$H$28,8,FALSE)*(1+$E$19)^(U$21-1)/1000</f>
        <v>0</v>
      </c>
      <c r="V225" s="52">
        <f>V224*VLOOKUP($A223,Hypothèses!$A$9:$H$28,8,FALSE)*(1+$E$19)^(V$21-1)/1000</f>
        <v>0</v>
      </c>
      <c r="W225" s="52">
        <f>W224*VLOOKUP($A223,Hypothèses!$A$9:$H$28,8,FALSE)*(1+$E$19)^(W$21-1)/1000</f>
        <v>0</v>
      </c>
      <c r="X225" s="52">
        <f>X224*VLOOKUP($A223,Hypothèses!$A$9:$H$28,8,FALSE)*(1+$E$19)^(X$21-1)/1000</f>
        <v>0</v>
      </c>
    </row>
    <row r="226" spans="1:24" hidden="1" outlineLevel="2" x14ac:dyDescent="0.25">
      <c r="A226" s="555" t="str">
        <f>Hypothèses!A11</f>
        <v>Véhicule n°3</v>
      </c>
      <c r="B226" s="130" t="s">
        <v>65</v>
      </c>
      <c r="C226" s="124"/>
      <c r="D226" s="50"/>
      <c r="E226" s="213"/>
      <c r="F226" s="213"/>
      <c r="G226" s="213"/>
      <c r="H226" s="213"/>
      <c r="I226" s="213"/>
      <c r="J226" s="213"/>
      <c r="K226" s="213"/>
      <c r="L226" s="213"/>
      <c r="M226" s="213"/>
      <c r="N226" s="213"/>
      <c r="O226" s="213"/>
      <c r="P226" s="213"/>
      <c r="Q226" s="213"/>
      <c r="R226" s="213"/>
      <c r="S226" s="213"/>
      <c r="T226" s="213"/>
      <c r="U226" s="213"/>
      <c r="V226" s="213"/>
      <c r="W226" s="213"/>
      <c r="X226" s="213"/>
    </row>
    <row r="227" spans="1:24" hidden="1" outlineLevel="2" x14ac:dyDescent="0.25">
      <c r="A227" s="556"/>
      <c r="B227" s="46" t="s">
        <v>140</v>
      </c>
      <c r="C227" s="46"/>
      <c r="D227" s="88"/>
      <c r="E227" s="52">
        <f>E226*VLOOKUP($A226,Hypothèses!$A$9:$H$28,6,FALSE)</f>
        <v>0</v>
      </c>
      <c r="F227" s="52">
        <f>F226*VLOOKUP($A226,Hypothèses!$A$9:$H$28,6,FALSE)</f>
        <v>0</v>
      </c>
      <c r="G227" s="52">
        <f>G226*VLOOKUP($A226,Hypothèses!$A$9:$H$28,6,FALSE)</f>
        <v>0</v>
      </c>
      <c r="H227" s="52">
        <f>H226*VLOOKUP($A226,Hypothèses!$A$9:$H$28,6,FALSE)</f>
        <v>0</v>
      </c>
      <c r="I227" s="52">
        <f>I226*VLOOKUP($A226,Hypothèses!$A$9:$H$28,6,FALSE)</f>
        <v>0</v>
      </c>
      <c r="J227" s="52">
        <f>J226*VLOOKUP($A226,Hypothèses!$A$9:$H$28,6,FALSE)</f>
        <v>0</v>
      </c>
      <c r="K227" s="52">
        <f>K226*VLOOKUP($A226,Hypothèses!$A$9:$H$28,6,FALSE)</f>
        <v>0</v>
      </c>
      <c r="L227" s="52">
        <f>L226*VLOOKUP($A226,Hypothèses!$A$9:$H$28,6,FALSE)</f>
        <v>0</v>
      </c>
      <c r="M227" s="52">
        <f>M226*VLOOKUP($A226,Hypothèses!$A$9:$H$28,6,FALSE)</f>
        <v>0</v>
      </c>
      <c r="N227" s="52">
        <f>N226*VLOOKUP($A226,Hypothèses!$A$9:$H$28,6,FALSE)</f>
        <v>0</v>
      </c>
      <c r="O227" s="52">
        <f>O226*VLOOKUP($A226,Hypothèses!$A$9:$H$28,6,FALSE)</f>
        <v>0</v>
      </c>
      <c r="P227" s="52">
        <f>P226*VLOOKUP($A226,Hypothèses!$A$9:$H$28,6,FALSE)</f>
        <v>0</v>
      </c>
      <c r="Q227" s="52">
        <f>Q226*VLOOKUP($A226,Hypothèses!$A$9:$H$28,6,FALSE)</f>
        <v>0</v>
      </c>
      <c r="R227" s="52">
        <f>R226*VLOOKUP($A226,Hypothèses!$A$9:$H$28,6,FALSE)</f>
        <v>0</v>
      </c>
      <c r="S227" s="52">
        <f>S226*VLOOKUP($A226,Hypothèses!$A$9:$H$28,6,FALSE)</f>
        <v>0</v>
      </c>
      <c r="T227" s="52">
        <f>T226*VLOOKUP($A226,Hypothèses!$A$9:$H$28,6,FALSE)</f>
        <v>0</v>
      </c>
      <c r="U227" s="52">
        <f>U226*VLOOKUP($A226,Hypothèses!$A$9:$H$28,6,FALSE)</f>
        <v>0</v>
      </c>
      <c r="V227" s="52">
        <f>V226*VLOOKUP($A226,Hypothèses!$A$9:$H$28,6,FALSE)</f>
        <v>0</v>
      </c>
      <c r="W227" s="52">
        <f>W226*VLOOKUP($A226,Hypothèses!$A$9:$H$28,6,FALSE)</f>
        <v>0</v>
      </c>
      <c r="X227" s="52">
        <f>X226*VLOOKUP($A226,Hypothèses!$A$9:$H$28,6,FALSE)</f>
        <v>0</v>
      </c>
    </row>
    <row r="228" spans="1:24" hidden="1" outlineLevel="2" x14ac:dyDescent="0.25">
      <c r="A228" s="557"/>
      <c r="B228" s="46" t="s">
        <v>138</v>
      </c>
      <c r="C228" s="46"/>
      <c r="D228" s="48"/>
      <c r="E228" s="52">
        <f>E227*VLOOKUP($A226,Hypothèses!$A$9:$H$28,8,FALSE)*(1+$E$19)^(E$21-1)/1000</f>
        <v>0</v>
      </c>
      <c r="F228" s="52">
        <f>F227*VLOOKUP($A226,Hypothèses!$A$9:$H$28,8,FALSE)*(1+$E$19)^(F$21-1)/1000</f>
        <v>0</v>
      </c>
      <c r="G228" s="52">
        <f>G227*VLOOKUP($A226,Hypothèses!$A$9:$H$28,8,FALSE)*(1+$E$19)^(G$21-1)/1000</f>
        <v>0</v>
      </c>
      <c r="H228" s="52">
        <f>H227*VLOOKUP($A226,Hypothèses!$A$9:$H$28,8,FALSE)*(1+$E$19)^(H$21-1)/1000</f>
        <v>0</v>
      </c>
      <c r="I228" s="52">
        <f>I227*VLOOKUP($A226,Hypothèses!$A$9:$H$28,8,FALSE)*(1+$E$19)^(I$21-1)/1000</f>
        <v>0</v>
      </c>
      <c r="J228" s="52">
        <f>J227*VLOOKUP($A226,Hypothèses!$A$9:$H$28,8,FALSE)*(1+$E$19)^(J$21-1)/1000</f>
        <v>0</v>
      </c>
      <c r="K228" s="52">
        <f>K227*VLOOKUP($A226,Hypothèses!$A$9:$H$28,8,FALSE)*(1+$E$19)^(K$21-1)/1000</f>
        <v>0</v>
      </c>
      <c r="L228" s="52">
        <f>L227*VLOOKUP($A226,Hypothèses!$A$9:$H$28,8,FALSE)*(1+$E$19)^(L$21-1)/1000</f>
        <v>0</v>
      </c>
      <c r="M228" s="52">
        <f>M227*VLOOKUP($A226,Hypothèses!$A$9:$H$28,8,FALSE)*(1+$E$19)^(M$21-1)/1000</f>
        <v>0</v>
      </c>
      <c r="N228" s="52">
        <f>N227*VLOOKUP($A226,Hypothèses!$A$9:$H$28,8,FALSE)*(1+$E$19)^(N$21-1)/1000</f>
        <v>0</v>
      </c>
      <c r="O228" s="52">
        <f>O227*VLOOKUP($A226,Hypothèses!$A$9:$H$28,8,FALSE)*(1+$E$19)^(O$21-1)/1000</f>
        <v>0</v>
      </c>
      <c r="P228" s="52">
        <f>P227*VLOOKUP($A226,Hypothèses!$A$9:$H$28,8,FALSE)*(1+$E$19)^(P$21-1)/1000</f>
        <v>0</v>
      </c>
      <c r="Q228" s="52">
        <f>Q227*VLOOKUP($A226,Hypothèses!$A$9:$H$28,8,FALSE)*(1+$E$19)^(Q$21-1)/1000</f>
        <v>0</v>
      </c>
      <c r="R228" s="52">
        <f>R227*VLOOKUP($A226,Hypothèses!$A$9:$H$28,8,FALSE)*(1+$E$19)^(R$21-1)/1000</f>
        <v>0</v>
      </c>
      <c r="S228" s="52">
        <f>S227*VLOOKUP($A226,Hypothèses!$A$9:$H$28,8,FALSE)*(1+$E$19)^(S$21-1)/1000</f>
        <v>0</v>
      </c>
      <c r="T228" s="52">
        <f>T227*VLOOKUP($A226,Hypothèses!$A$9:$H$28,8,FALSE)*(1+$E$19)^(T$21-1)/1000</f>
        <v>0</v>
      </c>
      <c r="U228" s="52">
        <f>U227*VLOOKUP($A226,Hypothèses!$A$9:$H$28,8,FALSE)*(1+$E$19)^(U$21-1)/1000</f>
        <v>0</v>
      </c>
      <c r="V228" s="52">
        <f>V227*VLOOKUP($A226,Hypothèses!$A$9:$H$28,8,FALSE)*(1+$E$19)^(V$21-1)/1000</f>
        <v>0</v>
      </c>
      <c r="W228" s="52">
        <f>W227*VLOOKUP($A226,Hypothèses!$A$9:$H$28,8,FALSE)*(1+$E$19)^(W$21-1)/1000</f>
        <v>0</v>
      </c>
      <c r="X228" s="52">
        <f>X227*VLOOKUP($A226,Hypothèses!$A$9:$H$28,8,FALSE)*(1+$E$19)^(X$21-1)/1000</f>
        <v>0</v>
      </c>
    </row>
    <row r="229" spans="1:24" hidden="1" outlineLevel="2" x14ac:dyDescent="0.25">
      <c r="A229" s="555" t="str">
        <f>Hypothèses!A12</f>
        <v>Véhicule n°4</v>
      </c>
      <c r="B229" s="130" t="s">
        <v>65</v>
      </c>
      <c r="C229" s="124"/>
      <c r="D229" s="50"/>
      <c r="E229" s="213"/>
      <c r="F229" s="213"/>
      <c r="G229" s="213"/>
      <c r="H229" s="213"/>
      <c r="I229" s="213"/>
      <c r="J229" s="213"/>
      <c r="K229" s="213"/>
      <c r="L229" s="213"/>
      <c r="M229" s="213"/>
      <c r="N229" s="213"/>
      <c r="O229" s="213"/>
      <c r="P229" s="213"/>
      <c r="Q229" s="213"/>
      <c r="R229" s="213"/>
      <c r="S229" s="213"/>
      <c r="T229" s="213"/>
      <c r="U229" s="213"/>
      <c r="V229" s="213"/>
      <c r="W229" s="213"/>
      <c r="X229" s="213"/>
    </row>
    <row r="230" spans="1:24" hidden="1" outlineLevel="2" x14ac:dyDescent="0.25">
      <c r="A230" s="556"/>
      <c r="B230" s="46" t="s">
        <v>140</v>
      </c>
      <c r="C230" s="46"/>
      <c r="D230" s="88"/>
      <c r="E230" s="52">
        <f>E229*VLOOKUP($A229,Hypothèses!$A$9:$H$28,6,FALSE)</f>
        <v>0</v>
      </c>
      <c r="F230" s="52">
        <f>F229*VLOOKUP($A229,Hypothèses!$A$9:$H$28,6,FALSE)</f>
        <v>0</v>
      </c>
      <c r="G230" s="52">
        <f>G229*VLOOKUP($A229,Hypothèses!$A$9:$H$28,6,FALSE)</f>
        <v>0</v>
      </c>
      <c r="H230" s="52">
        <f>H229*VLOOKUP($A229,Hypothèses!$A$9:$H$28,6,FALSE)</f>
        <v>0</v>
      </c>
      <c r="I230" s="52">
        <f>I229*VLOOKUP($A229,Hypothèses!$A$9:$H$28,6,FALSE)</f>
        <v>0</v>
      </c>
      <c r="J230" s="52">
        <f>J229*VLOOKUP($A229,Hypothèses!$A$9:$H$28,6,FALSE)</f>
        <v>0</v>
      </c>
      <c r="K230" s="52">
        <f>K229*VLOOKUP($A229,Hypothèses!$A$9:$H$28,6,FALSE)</f>
        <v>0</v>
      </c>
      <c r="L230" s="52">
        <f>L229*VLOOKUP($A229,Hypothèses!$A$9:$H$28,6,FALSE)</f>
        <v>0</v>
      </c>
      <c r="M230" s="52">
        <f>M229*VLOOKUP($A229,Hypothèses!$A$9:$H$28,6,FALSE)</f>
        <v>0</v>
      </c>
      <c r="N230" s="52">
        <f>N229*VLOOKUP($A229,Hypothèses!$A$9:$H$28,6,FALSE)</f>
        <v>0</v>
      </c>
      <c r="O230" s="52">
        <f>O229*VLOOKUP($A229,Hypothèses!$A$9:$H$28,6,FALSE)</f>
        <v>0</v>
      </c>
      <c r="P230" s="52">
        <f>P229*VLOOKUP($A229,Hypothèses!$A$9:$H$28,6,FALSE)</f>
        <v>0</v>
      </c>
      <c r="Q230" s="52">
        <f>Q229*VLOOKUP($A229,Hypothèses!$A$9:$H$28,6,FALSE)</f>
        <v>0</v>
      </c>
      <c r="R230" s="52">
        <f>R229*VLOOKUP($A229,Hypothèses!$A$9:$H$28,6,FALSE)</f>
        <v>0</v>
      </c>
      <c r="S230" s="52">
        <f>S229*VLOOKUP($A229,Hypothèses!$A$9:$H$28,6,FALSE)</f>
        <v>0</v>
      </c>
      <c r="T230" s="52">
        <f>T229*VLOOKUP($A229,Hypothèses!$A$9:$H$28,6,FALSE)</f>
        <v>0</v>
      </c>
      <c r="U230" s="52">
        <f>U229*VLOOKUP($A229,Hypothèses!$A$9:$H$28,6,FALSE)</f>
        <v>0</v>
      </c>
      <c r="V230" s="52">
        <f>V229*VLOOKUP($A229,Hypothèses!$A$9:$H$28,6,FALSE)</f>
        <v>0</v>
      </c>
      <c r="W230" s="52">
        <f>W229*VLOOKUP($A229,Hypothèses!$A$9:$H$28,6,FALSE)</f>
        <v>0</v>
      </c>
      <c r="X230" s="52">
        <f>X229*VLOOKUP($A229,Hypothèses!$A$9:$H$28,6,FALSE)</f>
        <v>0</v>
      </c>
    </row>
    <row r="231" spans="1:24" hidden="1" outlineLevel="2" x14ac:dyDescent="0.25">
      <c r="A231" s="557"/>
      <c r="B231" s="46" t="s">
        <v>138</v>
      </c>
      <c r="C231" s="46"/>
      <c r="D231" s="48"/>
      <c r="E231" s="52">
        <f>E230*VLOOKUP($A229,Hypothèses!$A$9:$H$28,8,FALSE)*(1+$E$19)^(E$21-1)/1000</f>
        <v>0</v>
      </c>
      <c r="F231" s="52">
        <f>F230*VLOOKUP($A229,Hypothèses!$A$9:$H$28,8,FALSE)*(1+$E$19)^(F$21-1)/1000</f>
        <v>0</v>
      </c>
      <c r="G231" s="52">
        <f>G230*VLOOKUP($A229,Hypothèses!$A$9:$H$28,8,FALSE)*(1+$E$19)^(G$21-1)/1000</f>
        <v>0</v>
      </c>
      <c r="H231" s="52">
        <f>H230*VLOOKUP($A229,Hypothèses!$A$9:$H$28,8,FALSE)*(1+$E$19)^(H$21-1)/1000</f>
        <v>0</v>
      </c>
      <c r="I231" s="52">
        <f>I230*VLOOKUP($A229,Hypothèses!$A$9:$H$28,8,FALSE)*(1+$E$19)^(I$21-1)/1000</f>
        <v>0</v>
      </c>
      <c r="J231" s="52">
        <f>J230*VLOOKUP($A229,Hypothèses!$A$9:$H$28,8,FALSE)*(1+$E$19)^(J$21-1)/1000</f>
        <v>0</v>
      </c>
      <c r="K231" s="52">
        <f>K230*VLOOKUP($A229,Hypothèses!$A$9:$H$28,8,FALSE)*(1+$E$19)^(K$21-1)/1000</f>
        <v>0</v>
      </c>
      <c r="L231" s="52">
        <f>L230*VLOOKUP($A229,Hypothèses!$A$9:$H$28,8,FALSE)*(1+$E$19)^(L$21-1)/1000</f>
        <v>0</v>
      </c>
      <c r="M231" s="52">
        <f>M230*VLOOKUP($A229,Hypothèses!$A$9:$H$28,8,FALSE)*(1+$E$19)^(M$21-1)/1000</f>
        <v>0</v>
      </c>
      <c r="N231" s="52">
        <f>N230*VLOOKUP($A229,Hypothèses!$A$9:$H$28,8,FALSE)*(1+$E$19)^(N$21-1)/1000</f>
        <v>0</v>
      </c>
      <c r="O231" s="52">
        <f>O230*VLOOKUP($A229,Hypothèses!$A$9:$H$28,8,FALSE)*(1+$E$19)^(O$21-1)/1000</f>
        <v>0</v>
      </c>
      <c r="P231" s="52">
        <f>P230*VLOOKUP($A229,Hypothèses!$A$9:$H$28,8,FALSE)*(1+$E$19)^(P$21-1)/1000</f>
        <v>0</v>
      </c>
      <c r="Q231" s="52">
        <f>Q230*VLOOKUP($A229,Hypothèses!$A$9:$H$28,8,FALSE)*(1+$E$19)^(Q$21-1)/1000</f>
        <v>0</v>
      </c>
      <c r="R231" s="52">
        <f>R230*VLOOKUP($A229,Hypothèses!$A$9:$H$28,8,FALSE)*(1+$E$19)^(R$21-1)/1000</f>
        <v>0</v>
      </c>
      <c r="S231" s="52">
        <f>S230*VLOOKUP($A229,Hypothèses!$A$9:$H$28,8,FALSE)*(1+$E$19)^(S$21-1)/1000</f>
        <v>0</v>
      </c>
      <c r="T231" s="52">
        <f>T230*VLOOKUP($A229,Hypothèses!$A$9:$H$28,8,FALSE)*(1+$E$19)^(T$21-1)/1000</f>
        <v>0</v>
      </c>
      <c r="U231" s="52">
        <f>U230*VLOOKUP($A229,Hypothèses!$A$9:$H$28,8,FALSE)*(1+$E$19)^(U$21-1)/1000</f>
        <v>0</v>
      </c>
      <c r="V231" s="52">
        <f>V230*VLOOKUP($A229,Hypothèses!$A$9:$H$28,8,FALSE)*(1+$E$19)^(V$21-1)/1000</f>
        <v>0</v>
      </c>
      <c r="W231" s="52">
        <f>W230*VLOOKUP($A229,Hypothèses!$A$9:$H$28,8,FALSE)*(1+$E$19)^(W$21-1)/1000</f>
        <v>0</v>
      </c>
      <c r="X231" s="52">
        <f>X230*VLOOKUP($A229,Hypothèses!$A$9:$H$28,8,FALSE)*(1+$E$19)^(X$21-1)/1000</f>
        <v>0</v>
      </c>
    </row>
    <row r="232" spans="1:24" hidden="1" outlineLevel="2" x14ac:dyDescent="0.25">
      <c r="A232" s="555" t="str">
        <f>Hypothèses!A13</f>
        <v>Véhicule n°5</v>
      </c>
      <c r="B232" s="130" t="s">
        <v>65</v>
      </c>
      <c r="C232" s="124"/>
      <c r="D232" s="50"/>
      <c r="E232" s="213"/>
      <c r="F232" s="213"/>
      <c r="G232" s="213"/>
      <c r="H232" s="213"/>
      <c r="I232" s="213"/>
      <c r="J232" s="213"/>
      <c r="K232" s="213"/>
      <c r="L232" s="213"/>
      <c r="M232" s="213"/>
      <c r="N232" s="213"/>
      <c r="O232" s="213"/>
      <c r="P232" s="213"/>
      <c r="Q232" s="213"/>
      <c r="R232" s="213"/>
      <c r="S232" s="213"/>
      <c r="T232" s="213"/>
      <c r="U232" s="213"/>
      <c r="V232" s="213"/>
      <c r="W232" s="213"/>
      <c r="X232" s="213"/>
    </row>
    <row r="233" spans="1:24" hidden="1" outlineLevel="2" x14ac:dyDescent="0.25">
      <c r="A233" s="556"/>
      <c r="B233" s="46" t="s">
        <v>140</v>
      </c>
      <c r="C233" s="46"/>
      <c r="D233" s="88"/>
      <c r="E233" s="52">
        <f>E232*VLOOKUP($A232,Hypothèses!$A$9:$H$28,6,FALSE)</f>
        <v>0</v>
      </c>
      <c r="F233" s="52">
        <f>F232*VLOOKUP($A232,Hypothèses!$A$9:$H$28,6,FALSE)</f>
        <v>0</v>
      </c>
      <c r="G233" s="52">
        <f>G232*VLOOKUP($A232,Hypothèses!$A$9:$H$28,6,FALSE)</f>
        <v>0</v>
      </c>
      <c r="H233" s="52">
        <f>H232*VLOOKUP($A232,Hypothèses!$A$9:$H$28,6,FALSE)</f>
        <v>0</v>
      </c>
      <c r="I233" s="52">
        <f>I232*VLOOKUP($A232,Hypothèses!$A$9:$H$28,6,FALSE)</f>
        <v>0</v>
      </c>
      <c r="J233" s="52">
        <f>J232*VLOOKUP($A232,Hypothèses!$A$9:$H$28,6,FALSE)</f>
        <v>0</v>
      </c>
      <c r="K233" s="52">
        <f>K232*VLOOKUP($A232,Hypothèses!$A$9:$H$28,6,FALSE)</f>
        <v>0</v>
      </c>
      <c r="L233" s="52">
        <f>L232*VLOOKUP($A232,Hypothèses!$A$9:$H$28,6,FALSE)</f>
        <v>0</v>
      </c>
      <c r="M233" s="52">
        <f>M232*VLOOKUP($A232,Hypothèses!$A$9:$H$28,6,FALSE)</f>
        <v>0</v>
      </c>
      <c r="N233" s="52">
        <f>N232*VLOOKUP($A232,Hypothèses!$A$9:$H$28,6,FALSE)</f>
        <v>0</v>
      </c>
      <c r="O233" s="52">
        <f>O232*VLOOKUP($A232,Hypothèses!$A$9:$H$28,6,FALSE)</f>
        <v>0</v>
      </c>
      <c r="P233" s="52">
        <f>P232*VLOOKUP($A232,Hypothèses!$A$9:$H$28,6,FALSE)</f>
        <v>0</v>
      </c>
      <c r="Q233" s="52">
        <f>Q232*VLOOKUP($A232,Hypothèses!$A$9:$H$28,6,FALSE)</f>
        <v>0</v>
      </c>
      <c r="R233" s="52">
        <f>R232*VLOOKUP($A232,Hypothèses!$A$9:$H$28,6,FALSE)</f>
        <v>0</v>
      </c>
      <c r="S233" s="52">
        <f>S232*VLOOKUP($A232,Hypothèses!$A$9:$H$28,6,FALSE)</f>
        <v>0</v>
      </c>
      <c r="T233" s="52">
        <f>T232*VLOOKUP($A232,Hypothèses!$A$9:$H$28,6,FALSE)</f>
        <v>0</v>
      </c>
      <c r="U233" s="52">
        <f>U232*VLOOKUP($A232,Hypothèses!$A$9:$H$28,6,FALSE)</f>
        <v>0</v>
      </c>
      <c r="V233" s="52">
        <f>V232*VLOOKUP($A232,Hypothèses!$A$9:$H$28,6,FALSE)</f>
        <v>0</v>
      </c>
      <c r="W233" s="52">
        <f>W232*VLOOKUP($A232,Hypothèses!$A$9:$H$28,6,FALSE)</f>
        <v>0</v>
      </c>
      <c r="X233" s="52">
        <f>X232*VLOOKUP($A232,Hypothèses!$A$9:$H$28,6,FALSE)</f>
        <v>0</v>
      </c>
    </row>
    <row r="234" spans="1:24" hidden="1" outlineLevel="2" x14ac:dyDescent="0.25">
      <c r="A234" s="557"/>
      <c r="B234" s="46" t="s">
        <v>138</v>
      </c>
      <c r="C234" s="46"/>
      <c r="D234" s="48"/>
      <c r="E234" s="52">
        <f>E233*VLOOKUP($A232,Hypothèses!$A$9:$H$28,8,FALSE)*(1+$E$19)^(E$21-1)/1000</f>
        <v>0</v>
      </c>
      <c r="F234" s="52">
        <f>F233*VLOOKUP($A232,Hypothèses!$A$9:$H$28,8,FALSE)*(1+$E$19)^(F$21-1)/1000</f>
        <v>0</v>
      </c>
      <c r="G234" s="52">
        <f>G233*VLOOKUP($A232,Hypothèses!$A$9:$H$28,8,FALSE)*(1+$E$19)^(G$21-1)/1000</f>
        <v>0</v>
      </c>
      <c r="H234" s="52">
        <f>H233*VLOOKUP($A232,Hypothèses!$A$9:$H$28,8,FALSE)*(1+$E$19)^(H$21-1)/1000</f>
        <v>0</v>
      </c>
      <c r="I234" s="52">
        <f>I233*VLOOKUP($A232,Hypothèses!$A$9:$H$28,8,FALSE)*(1+$E$19)^(I$21-1)/1000</f>
        <v>0</v>
      </c>
      <c r="J234" s="52">
        <f>J233*VLOOKUP($A232,Hypothèses!$A$9:$H$28,8,FALSE)*(1+$E$19)^(J$21-1)/1000</f>
        <v>0</v>
      </c>
      <c r="K234" s="52">
        <f>K233*VLOOKUP($A232,Hypothèses!$A$9:$H$28,8,FALSE)*(1+$E$19)^(K$21-1)/1000</f>
        <v>0</v>
      </c>
      <c r="L234" s="52">
        <f>L233*VLOOKUP($A232,Hypothèses!$A$9:$H$28,8,FALSE)*(1+$E$19)^(L$21-1)/1000</f>
        <v>0</v>
      </c>
      <c r="M234" s="52">
        <f>M233*VLOOKUP($A232,Hypothèses!$A$9:$H$28,8,FALSE)*(1+$E$19)^(M$21-1)/1000</f>
        <v>0</v>
      </c>
      <c r="N234" s="52">
        <f>N233*VLOOKUP($A232,Hypothèses!$A$9:$H$28,8,FALSE)*(1+$E$19)^(N$21-1)/1000</f>
        <v>0</v>
      </c>
      <c r="O234" s="52">
        <f>O233*VLOOKUP($A232,Hypothèses!$A$9:$H$28,8,FALSE)*(1+$E$19)^(O$21-1)/1000</f>
        <v>0</v>
      </c>
      <c r="P234" s="52">
        <f>P233*VLOOKUP($A232,Hypothèses!$A$9:$H$28,8,FALSE)*(1+$E$19)^(P$21-1)/1000</f>
        <v>0</v>
      </c>
      <c r="Q234" s="52">
        <f>Q233*VLOOKUP($A232,Hypothèses!$A$9:$H$28,8,FALSE)*(1+$E$19)^(Q$21-1)/1000</f>
        <v>0</v>
      </c>
      <c r="R234" s="52">
        <f>R233*VLOOKUP($A232,Hypothèses!$A$9:$H$28,8,FALSE)*(1+$E$19)^(R$21-1)/1000</f>
        <v>0</v>
      </c>
      <c r="S234" s="52">
        <f>S233*VLOOKUP($A232,Hypothèses!$A$9:$H$28,8,FALSE)*(1+$E$19)^(S$21-1)/1000</f>
        <v>0</v>
      </c>
      <c r="T234" s="52">
        <f>T233*VLOOKUP($A232,Hypothèses!$A$9:$H$28,8,FALSE)*(1+$E$19)^(T$21-1)/1000</f>
        <v>0</v>
      </c>
      <c r="U234" s="52">
        <f>U233*VLOOKUP($A232,Hypothèses!$A$9:$H$28,8,FALSE)*(1+$E$19)^(U$21-1)/1000</f>
        <v>0</v>
      </c>
      <c r="V234" s="52">
        <f>V233*VLOOKUP($A232,Hypothèses!$A$9:$H$28,8,FALSE)*(1+$E$19)^(V$21-1)/1000</f>
        <v>0</v>
      </c>
      <c r="W234" s="52">
        <f>W233*VLOOKUP($A232,Hypothèses!$A$9:$H$28,8,FALSE)*(1+$E$19)^(W$21-1)/1000</f>
        <v>0</v>
      </c>
      <c r="X234" s="52">
        <f>X233*VLOOKUP($A232,Hypothèses!$A$9:$H$28,8,FALSE)*(1+$E$19)^(X$21-1)/1000</f>
        <v>0</v>
      </c>
    </row>
    <row r="235" spans="1:24" hidden="1" outlineLevel="2" x14ac:dyDescent="0.25">
      <c r="A235" s="555" t="str">
        <f>Hypothèses!A14</f>
        <v>Véhicule n°6</v>
      </c>
      <c r="B235" s="130" t="s">
        <v>65</v>
      </c>
      <c r="C235" s="124"/>
      <c r="D235" s="50"/>
      <c r="E235" s="213"/>
      <c r="F235" s="213"/>
      <c r="G235" s="213"/>
      <c r="H235" s="213"/>
      <c r="I235" s="213"/>
      <c r="J235" s="213"/>
      <c r="K235" s="213"/>
      <c r="L235" s="213"/>
      <c r="M235" s="213"/>
      <c r="N235" s="213"/>
      <c r="O235" s="213"/>
      <c r="P235" s="213"/>
      <c r="Q235" s="213"/>
      <c r="R235" s="213"/>
      <c r="S235" s="213"/>
      <c r="T235" s="213"/>
      <c r="U235" s="213"/>
      <c r="V235" s="213"/>
      <c r="W235" s="213"/>
      <c r="X235" s="213"/>
    </row>
    <row r="236" spans="1:24" hidden="1" outlineLevel="2" x14ac:dyDescent="0.25">
      <c r="A236" s="556"/>
      <c r="B236" s="46" t="s">
        <v>140</v>
      </c>
      <c r="C236" s="46"/>
      <c r="D236" s="88"/>
      <c r="E236" s="52">
        <f>E235*VLOOKUP($A235,Hypothèses!$A$9:$H$28,6,FALSE)</f>
        <v>0</v>
      </c>
      <c r="F236" s="52">
        <f>F235*VLOOKUP($A235,Hypothèses!$A$9:$H$28,6,FALSE)</f>
        <v>0</v>
      </c>
      <c r="G236" s="52">
        <f>G235*VLOOKUP($A235,Hypothèses!$A$9:$H$28,6,FALSE)</f>
        <v>0</v>
      </c>
      <c r="H236" s="52">
        <f>H235*VLOOKUP($A235,Hypothèses!$A$9:$H$28,6,FALSE)</f>
        <v>0</v>
      </c>
      <c r="I236" s="52">
        <f>I235*VLOOKUP($A235,Hypothèses!$A$9:$H$28,6,FALSE)</f>
        <v>0</v>
      </c>
      <c r="J236" s="52">
        <f>J235*VLOOKUP($A235,Hypothèses!$A$9:$H$28,6,FALSE)</f>
        <v>0</v>
      </c>
      <c r="K236" s="52">
        <f>K235*VLOOKUP($A235,Hypothèses!$A$9:$H$28,6,FALSE)</f>
        <v>0</v>
      </c>
      <c r="L236" s="52">
        <f>L235*VLOOKUP($A235,Hypothèses!$A$9:$H$28,6,FALSE)</f>
        <v>0</v>
      </c>
      <c r="M236" s="52">
        <f>M235*VLOOKUP($A235,Hypothèses!$A$9:$H$28,6,FALSE)</f>
        <v>0</v>
      </c>
      <c r="N236" s="52">
        <f>N235*VLOOKUP($A235,Hypothèses!$A$9:$H$28,6,FALSE)</f>
        <v>0</v>
      </c>
      <c r="O236" s="52">
        <f>O235*VLOOKUP($A235,Hypothèses!$A$9:$H$28,6,FALSE)</f>
        <v>0</v>
      </c>
      <c r="P236" s="52">
        <f>P235*VLOOKUP($A235,Hypothèses!$A$9:$H$28,6,FALSE)</f>
        <v>0</v>
      </c>
      <c r="Q236" s="52">
        <f>Q235*VLOOKUP($A235,Hypothèses!$A$9:$H$28,6,FALSE)</f>
        <v>0</v>
      </c>
      <c r="R236" s="52">
        <f>R235*VLOOKUP($A235,Hypothèses!$A$9:$H$28,6,FALSE)</f>
        <v>0</v>
      </c>
      <c r="S236" s="52">
        <f>S235*VLOOKUP($A235,Hypothèses!$A$9:$H$28,6,FALSE)</f>
        <v>0</v>
      </c>
      <c r="T236" s="52">
        <f>T235*VLOOKUP($A235,Hypothèses!$A$9:$H$28,6,FALSE)</f>
        <v>0</v>
      </c>
      <c r="U236" s="52">
        <f>U235*VLOOKUP($A235,Hypothèses!$A$9:$H$28,6,FALSE)</f>
        <v>0</v>
      </c>
      <c r="V236" s="52">
        <f>V235*VLOOKUP($A235,Hypothèses!$A$9:$H$28,6,FALSE)</f>
        <v>0</v>
      </c>
      <c r="W236" s="52">
        <f>W235*VLOOKUP($A235,Hypothèses!$A$9:$H$28,6,FALSE)</f>
        <v>0</v>
      </c>
      <c r="X236" s="52">
        <f>X235*VLOOKUP($A235,Hypothèses!$A$9:$H$28,6,FALSE)</f>
        <v>0</v>
      </c>
    </row>
    <row r="237" spans="1:24" hidden="1" outlineLevel="2" x14ac:dyDescent="0.25">
      <c r="A237" s="557"/>
      <c r="B237" s="46" t="s">
        <v>138</v>
      </c>
      <c r="C237" s="46"/>
      <c r="D237" s="48"/>
      <c r="E237" s="52">
        <f>E236*VLOOKUP($A235,Hypothèses!$A$9:$H$28,8,FALSE)*(1+$E$19)^(E$21-1)/1000</f>
        <v>0</v>
      </c>
      <c r="F237" s="52">
        <f>F236*VLOOKUP($A235,Hypothèses!$A$9:$H$28,8,FALSE)*(1+$E$19)^(F$21-1)/1000</f>
        <v>0</v>
      </c>
      <c r="G237" s="52">
        <f>G236*VLOOKUP($A235,Hypothèses!$A$9:$H$28,8,FALSE)*(1+$E$19)^(G$21-1)/1000</f>
        <v>0</v>
      </c>
      <c r="H237" s="52">
        <f>H236*VLOOKUP($A235,Hypothèses!$A$9:$H$28,8,FALSE)*(1+$E$19)^(H$21-1)/1000</f>
        <v>0</v>
      </c>
      <c r="I237" s="52">
        <f>I236*VLOOKUP($A235,Hypothèses!$A$9:$H$28,8,FALSE)*(1+$E$19)^(I$21-1)/1000</f>
        <v>0</v>
      </c>
      <c r="J237" s="52">
        <f>J236*VLOOKUP($A235,Hypothèses!$A$9:$H$28,8,FALSE)*(1+$E$19)^(J$21-1)/1000</f>
        <v>0</v>
      </c>
      <c r="K237" s="52">
        <f>K236*VLOOKUP($A235,Hypothèses!$A$9:$H$28,8,FALSE)*(1+$E$19)^(K$21-1)/1000</f>
        <v>0</v>
      </c>
      <c r="L237" s="52">
        <f>L236*VLOOKUP($A235,Hypothèses!$A$9:$H$28,8,FALSE)*(1+$E$19)^(L$21-1)/1000</f>
        <v>0</v>
      </c>
      <c r="M237" s="52">
        <f>M236*VLOOKUP($A235,Hypothèses!$A$9:$H$28,8,FALSE)*(1+$E$19)^(M$21-1)/1000</f>
        <v>0</v>
      </c>
      <c r="N237" s="52">
        <f>N236*VLOOKUP($A235,Hypothèses!$A$9:$H$28,8,FALSE)*(1+$E$19)^(N$21-1)/1000</f>
        <v>0</v>
      </c>
      <c r="O237" s="52">
        <f>O236*VLOOKUP($A235,Hypothèses!$A$9:$H$28,8,FALSE)*(1+$E$19)^(O$21-1)/1000</f>
        <v>0</v>
      </c>
      <c r="P237" s="52">
        <f>P236*VLOOKUP($A235,Hypothèses!$A$9:$H$28,8,FALSE)*(1+$E$19)^(P$21-1)/1000</f>
        <v>0</v>
      </c>
      <c r="Q237" s="52">
        <f>Q236*VLOOKUP($A235,Hypothèses!$A$9:$H$28,8,FALSE)*(1+$E$19)^(Q$21-1)/1000</f>
        <v>0</v>
      </c>
      <c r="R237" s="52">
        <f>R236*VLOOKUP($A235,Hypothèses!$A$9:$H$28,8,FALSE)*(1+$E$19)^(R$21-1)/1000</f>
        <v>0</v>
      </c>
      <c r="S237" s="52">
        <f>S236*VLOOKUP($A235,Hypothèses!$A$9:$H$28,8,FALSE)*(1+$E$19)^(S$21-1)/1000</f>
        <v>0</v>
      </c>
      <c r="T237" s="52">
        <f>T236*VLOOKUP($A235,Hypothèses!$A$9:$H$28,8,FALSE)*(1+$E$19)^(T$21-1)/1000</f>
        <v>0</v>
      </c>
      <c r="U237" s="52">
        <f>U236*VLOOKUP($A235,Hypothèses!$A$9:$H$28,8,FALSE)*(1+$E$19)^(U$21-1)/1000</f>
        <v>0</v>
      </c>
      <c r="V237" s="52">
        <f>V236*VLOOKUP($A235,Hypothèses!$A$9:$H$28,8,FALSE)*(1+$E$19)^(V$21-1)/1000</f>
        <v>0</v>
      </c>
      <c r="W237" s="52">
        <f>W236*VLOOKUP($A235,Hypothèses!$A$9:$H$28,8,FALSE)*(1+$E$19)^(W$21-1)/1000</f>
        <v>0</v>
      </c>
      <c r="X237" s="52">
        <f>X236*VLOOKUP($A235,Hypothèses!$A$9:$H$28,8,FALSE)*(1+$E$19)^(X$21-1)/1000</f>
        <v>0</v>
      </c>
    </row>
    <row r="238" spans="1:24" hidden="1" outlineLevel="2" x14ac:dyDescent="0.25">
      <c r="A238" s="555" t="str">
        <f>Hypothèses!A15</f>
        <v>Véhicule n°7</v>
      </c>
      <c r="B238" s="130" t="s">
        <v>65</v>
      </c>
      <c r="C238" s="124"/>
      <c r="D238" s="50"/>
      <c r="E238" s="213"/>
      <c r="F238" s="213"/>
      <c r="G238" s="213"/>
      <c r="H238" s="213"/>
      <c r="I238" s="213"/>
      <c r="J238" s="213"/>
      <c r="K238" s="213"/>
      <c r="L238" s="213"/>
      <c r="M238" s="213"/>
      <c r="N238" s="213"/>
      <c r="O238" s="213"/>
      <c r="P238" s="213"/>
      <c r="Q238" s="213"/>
      <c r="R238" s="213"/>
      <c r="S238" s="213"/>
      <c r="T238" s="213"/>
      <c r="U238" s="213"/>
      <c r="V238" s="213"/>
      <c r="W238" s="213"/>
      <c r="X238" s="213"/>
    </row>
    <row r="239" spans="1:24" hidden="1" outlineLevel="2" x14ac:dyDescent="0.25">
      <c r="A239" s="556"/>
      <c r="B239" s="46" t="s">
        <v>140</v>
      </c>
      <c r="C239" s="46"/>
      <c r="D239" s="88"/>
      <c r="E239" s="52">
        <f>E238*VLOOKUP($A238,Hypothèses!$A$9:$H$28,6,FALSE)</f>
        <v>0</v>
      </c>
      <c r="F239" s="52">
        <f>F238*VLOOKUP($A238,Hypothèses!$A$9:$H$28,6,FALSE)</f>
        <v>0</v>
      </c>
      <c r="G239" s="52">
        <f>G238*VLOOKUP($A238,Hypothèses!$A$9:$H$28,6,FALSE)</f>
        <v>0</v>
      </c>
      <c r="H239" s="52">
        <f>H238*VLOOKUP($A238,Hypothèses!$A$9:$H$28,6,FALSE)</f>
        <v>0</v>
      </c>
      <c r="I239" s="52">
        <f>I238*VLOOKUP($A238,Hypothèses!$A$9:$H$28,6,FALSE)</f>
        <v>0</v>
      </c>
      <c r="J239" s="52">
        <f>J238*VLOOKUP($A238,Hypothèses!$A$9:$H$28,6,FALSE)</f>
        <v>0</v>
      </c>
      <c r="K239" s="52">
        <f>K238*VLOOKUP($A238,Hypothèses!$A$9:$H$28,6,FALSE)</f>
        <v>0</v>
      </c>
      <c r="L239" s="52">
        <f>L238*VLOOKUP($A238,Hypothèses!$A$9:$H$28,6,FALSE)</f>
        <v>0</v>
      </c>
      <c r="M239" s="52">
        <f>M238*VLOOKUP($A238,Hypothèses!$A$9:$H$28,6,FALSE)</f>
        <v>0</v>
      </c>
      <c r="N239" s="52">
        <f>N238*VLOOKUP($A238,Hypothèses!$A$9:$H$28,6,FALSE)</f>
        <v>0</v>
      </c>
      <c r="O239" s="52">
        <f>O238*VLOOKUP($A238,Hypothèses!$A$9:$H$28,6,FALSE)</f>
        <v>0</v>
      </c>
      <c r="P239" s="52">
        <f>P238*VLOOKUP($A238,Hypothèses!$A$9:$H$28,6,FALSE)</f>
        <v>0</v>
      </c>
      <c r="Q239" s="52">
        <f>Q238*VLOOKUP($A238,Hypothèses!$A$9:$H$28,6,FALSE)</f>
        <v>0</v>
      </c>
      <c r="R239" s="52">
        <f>R238*VLOOKUP($A238,Hypothèses!$A$9:$H$28,6,FALSE)</f>
        <v>0</v>
      </c>
      <c r="S239" s="52">
        <f>S238*VLOOKUP($A238,Hypothèses!$A$9:$H$28,6,FALSE)</f>
        <v>0</v>
      </c>
      <c r="T239" s="52">
        <f>T238*VLOOKUP($A238,Hypothèses!$A$9:$H$28,6,FALSE)</f>
        <v>0</v>
      </c>
      <c r="U239" s="52">
        <f>U238*VLOOKUP($A238,Hypothèses!$A$9:$H$28,6,FALSE)</f>
        <v>0</v>
      </c>
      <c r="V239" s="52">
        <f>V238*VLOOKUP($A238,Hypothèses!$A$9:$H$28,6,FALSE)</f>
        <v>0</v>
      </c>
      <c r="W239" s="52">
        <f>W238*VLOOKUP($A238,Hypothèses!$A$9:$H$28,6,FALSE)</f>
        <v>0</v>
      </c>
      <c r="X239" s="52">
        <f>X238*VLOOKUP($A238,Hypothèses!$A$9:$H$28,6,FALSE)</f>
        <v>0</v>
      </c>
    </row>
    <row r="240" spans="1:24" hidden="1" outlineLevel="2" x14ac:dyDescent="0.25">
      <c r="A240" s="557"/>
      <c r="B240" s="46" t="s">
        <v>138</v>
      </c>
      <c r="C240" s="46"/>
      <c r="D240" s="48"/>
      <c r="E240" s="52">
        <f>E239*VLOOKUP($A238,Hypothèses!$A$9:$H$28,8,FALSE)*(1+$E$19)^(E$21-1)/1000</f>
        <v>0</v>
      </c>
      <c r="F240" s="52">
        <f>F239*VLOOKUP($A238,Hypothèses!$A$9:$H$28,8,FALSE)*(1+$E$19)^(F$21-1)/1000</f>
        <v>0</v>
      </c>
      <c r="G240" s="52">
        <f>G239*VLOOKUP($A238,Hypothèses!$A$9:$H$28,8,FALSE)*(1+$E$19)^(G$21-1)/1000</f>
        <v>0</v>
      </c>
      <c r="H240" s="52">
        <f>H239*VLOOKUP($A238,Hypothèses!$A$9:$H$28,8,FALSE)*(1+$E$19)^(H$21-1)/1000</f>
        <v>0</v>
      </c>
      <c r="I240" s="52">
        <f>I239*VLOOKUP($A238,Hypothèses!$A$9:$H$28,8,FALSE)*(1+$E$19)^(I$21-1)/1000</f>
        <v>0</v>
      </c>
      <c r="J240" s="52">
        <f>J239*VLOOKUP($A238,Hypothèses!$A$9:$H$28,8,FALSE)*(1+$E$19)^(J$21-1)/1000</f>
        <v>0</v>
      </c>
      <c r="K240" s="52">
        <f>K239*VLOOKUP($A238,Hypothèses!$A$9:$H$28,8,FALSE)*(1+$E$19)^(K$21-1)/1000</f>
        <v>0</v>
      </c>
      <c r="L240" s="52">
        <f>L239*VLOOKUP($A238,Hypothèses!$A$9:$H$28,8,FALSE)*(1+$E$19)^(L$21-1)/1000</f>
        <v>0</v>
      </c>
      <c r="M240" s="52">
        <f>M239*VLOOKUP($A238,Hypothèses!$A$9:$H$28,8,FALSE)*(1+$E$19)^(M$21-1)/1000</f>
        <v>0</v>
      </c>
      <c r="N240" s="52">
        <f>N239*VLOOKUP($A238,Hypothèses!$A$9:$H$28,8,FALSE)*(1+$E$19)^(N$21-1)/1000</f>
        <v>0</v>
      </c>
      <c r="O240" s="52">
        <f>O239*VLOOKUP($A238,Hypothèses!$A$9:$H$28,8,FALSE)*(1+$E$19)^(O$21-1)/1000</f>
        <v>0</v>
      </c>
      <c r="P240" s="52">
        <f>P239*VLOOKUP($A238,Hypothèses!$A$9:$H$28,8,FALSE)*(1+$E$19)^(P$21-1)/1000</f>
        <v>0</v>
      </c>
      <c r="Q240" s="52">
        <f>Q239*VLOOKUP($A238,Hypothèses!$A$9:$H$28,8,FALSE)*(1+$E$19)^(Q$21-1)/1000</f>
        <v>0</v>
      </c>
      <c r="R240" s="52">
        <f>R239*VLOOKUP($A238,Hypothèses!$A$9:$H$28,8,FALSE)*(1+$E$19)^(R$21-1)/1000</f>
        <v>0</v>
      </c>
      <c r="S240" s="52">
        <f>S239*VLOOKUP($A238,Hypothèses!$A$9:$H$28,8,FALSE)*(1+$E$19)^(S$21-1)/1000</f>
        <v>0</v>
      </c>
      <c r="T240" s="52">
        <f>T239*VLOOKUP($A238,Hypothèses!$A$9:$H$28,8,FALSE)*(1+$E$19)^(T$21-1)/1000</f>
        <v>0</v>
      </c>
      <c r="U240" s="52">
        <f>U239*VLOOKUP($A238,Hypothèses!$A$9:$H$28,8,FALSE)*(1+$E$19)^(U$21-1)/1000</f>
        <v>0</v>
      </c>
      <c r="V240" s="52">
        <f>V239*VLOOKUP($A238,Hypothèses!$A$9:$H$28,8,FALSE)*(1+$E$19)^(V$21-1)/1000</f>
        <v>0</v>
      </c>
      <c r="W240" s="52">
        <f>W239*VLOOKUP($A238,Hypothèses!$A$9:$H$28,8,FALSE)*(1+$E$19)^(W$21-1)/1000</f>
        <v>0</v>
      </c>
      <c r="X240" s="52">
        <f>X239*VLOOKUP($A238,Hypothèses!$A$9:$H$28,8,FALSE)*(1+$E$19)^(X$21-1)/1000</f>
        <v>0</v>
      </c>
    </row>
    <row r="241" spans="1:24" hidden="1" outlineLevel="2" x14ac:dyDescent="0.25">
      <c r="A241" s="555" t="str">
        <f>Hypothèses!A16</f>
        <v>Véhicule n°8</v>
      </c>
      <c r="B241" s="130" t="s">
        <v>65</v>
      </c>
      <c r="C241" s="124"/>
      <c r="D241" s="50"/>
      <c r="E241" s="213"/>
      <c r="F241" s="213"/>
      <c r="G241" s="213"/>
      <c r="H241" s="213"/>
      <c r="I241" s="213"/>
      <c r="J241" s="213"/>
      <c r="K241" s="213"/>
      <c r="L241" s="213"/>
      <c r="M241" s="213"/>
      <c r="N241" s="213"/>
      <c r="O241" s="213"/>
      <c r="P241" s="213"/>
      <c r="Q241" s="213"/>
      <c r="R241" s="213"/>
      <c r="S241" s="213"/>
      <c r="T241" s="213"/>
      <c r="U241" s="213"/>
      <c r="V241" s="213"/>
      <c r="W241" s="213"/>
      <c r="X241" s="213"/>
    </row>
    <row r="242" spans="1:24" hidden="1" outlineLevel="2" x14ac:dyDescent="0.25">
      <c r="A242" s="556"/>
      <c r="B242" s="46" t="s">
        <v>140</v>
      </c>
      <c r="C242" s="46"/>
      <c r="D242" s="88"/>
      <c r="E242" s="52">
        <f>E241*VLOOKUP($A241,Hypothèses!$A$9:$H$28,6,FALSE)</f>
        <v>0</v>
      </c>
      <c r="F242" s="52">
        <f>F241*VLOOKUP($A241,Hypothèses!$A$9:$H$28,6,FALSE)</f>
        <v>0</v>
      </c>
      <c r="G242" s="52">
        <f>G241*VLOOKUP($A241,Hypothèses!$A$9:$H$28,6,FALSE)</f>
        <v>0</v>
      </c>
      <c r="H242" s="52">
        <f>H241*VLOOKUP($A241,Hypothèses!$A$9:$H$28,6,FALSE)</f>
        <v>0</v>
      </c>
      <c r="I242" s="52">
        <f>I241*VLOOKUP($A241,Hypothèses!$A$9:$H$28,6,FALSE)</f>
        <v>0</v>
      </c>
      <c r="J242" s="52">
        <f>J241*VLOOKUP($A241,Hypothèses!$A$9:$H$28,6,FALSE)</f>
        <v>0</v>
      </c>
      <c r="K242" s="52">
        <f>K241*VLOOKUP($A241,Hypothèses!$A$9:$H$28,6,FALSE)</f>
        <v>0</v>
      </c>
      <c r="L242" s="52">
        <f>L241*VLOOKUP($A241,Hypothèses!$A$9:$H$28,6,FALSE)</f>
        <v>0</v>
      </c>
      <c r="M242" s="52">
        <f>M241*VLOOKUP($A241,Hypothèses!$A$9:$H$28,6,FALSE)</f>
        <v>0</v>
      </c>
      <c r="N242" s="52">
        <f>N241*VLOOKUP($A241,Hypothèses!$A$9:$H$28,6,FALSE)</f>
        <v>0</v>
      </c>
      <c r="O242" s="52">
        <f>O241*VLOOKUP($A241,Hypothèses!$A$9:$H$28,6,FALSE)</f>
        <v>0</v>
      </c>
      <c r="P242" s="52">
        <f>P241*VLOOKUP($A241,Hypothèses!$A$9:$H$28,6,FALSE)</f>
        <v>0</v>
      </c>
      <c r="Q242" s="52">
        <f>Q241*VLOOKUP($A241,Hypothèses!$A$9:$H$28,6,FALSE)</f>
        <v>0</v>
      </c>
      <c r="R242" s="52">
        <f>R241*VLOOKUP($A241,Hypothèses!$A$9:$H$28,6,FALSE)</f>
        <v>0</v>
      </c>
      <c r="S242" s="52">
        <f>S241*VLOOKUP($A241,Hypothèses!$A$9:$H$28,6,FALSE)</f>
        <v>0</v>
      </c>
      <c r="T242" s="52">
        <f>T241*VLOOKUP($A241,Hypothèses!$A$9:$H$28,6,FALSE)</f>
        <v>0</v>
      </c>
      <c r="U242" s="52">
        <f>U241*VLOOKUP($A241,Hypothèses!$A$9:$H$28,6,FALSE)</f>
        <v>0</v>
      </c>
      <c r="V242" s="52">
        <f>V241*VLOOKUP($A241,Hypothèses!$A$9:$H$28,6,FALSE)</f>
        <v>0</v>
      </c>
      <c r="W242" s="52">
        <f>W241*VLOOKUP($A241,Hypothèses!$A$9:$H$28,6,FALSE)</f>
        <v>0</v>
      </c>
      <c r="X242" s="52">
        <f>X241*VLOOKUP($A241,Hypothèses!$A$9:$H$28,6,FALSE)</f>
        <v>0</v>
      </c>
    </row>
    <row r="243" spans="1:24" hidden="1" outlineLevel="2" x14ac:dyDescent="0.25">
      <c r="A243" s="557"/>
      <c r="B243" s="46" t="s">
        <v>138</v>
      </c>
      <c r="C243" s="46"/>
      <c r="D243" s="48"/>
      <c r="E243" s="52">
        <f>E242*VLOOKUP($A241,Hypothèses!$A$9:$H$28,8,FALSE)*(1+$E$19)^(E$21-1)/1000</f>
        <v>0</v>
      </c>
      <c r="F243" s="52">
        <f>F242*VLOOKUP($A241,Hypothèses!$A$9:$H$28,8,FALSE)*(1+$E$19)^(F$21-1)/1000</f>
        <v>0</v>
      </c>
      <c r="G243" s="52">
        <f>G242*VLOOKUP($A241,Hypothèses!$A$9:$H$28,8,FALSE)*(1+$E$19)^(G$21-1)/1000</f>
        <v>0</v>
      </c>
      <c r="H243" s="52">
        <f>H242*VLOOKUP($A241,Hypothèses!$A$9:$H$28,8,FALSE)*(1+$E$19)^(H$21-1)/1000</f>
        <v>0</v>
      </c>
      <c r="I243" s="52">
        <f>I242*VLOOKUP($A241,Hypothèses!$A$9:$H$28,8,FALSE)*(1+$E$19)^(I$21-1)/1000</f>
        <v>0</v>
      </c>
      <c r="J243" s="52">
        <f>J242*VLOOKUP($A241,Hypothèses!$A$9:$H$28,8,FALSE)*(1+$E$19)^(J$21-1)/1000</f>
        <v>0</v>
      </c>
      <c r="K243" s="52">
        <f>K242*VLOOKUP($A241,Hypothèses!$A$9:$H$28,8,FALSE)*(1+$E$19)^(K$21-1)/1000</f>
        <v>0</v>
      </c>
      <c r="L243" s="52">
        <f>L242*VLOOKUP($A241,Hypothèses!$A$9:$H$28,8,FALSE)*(1+$E$19)^(L$21-1)/1000</f>
        <v>0</v>
      </c>
      <c r="M243" s="52">
        <f>M242*VLOOKUP($A241,Hypothèses!$A$9:$H$28,8,FALSE)*(1+$E$19)^(M$21-1)/1000</f>
        <v>0</v>
      </c>
      <c r="N243" s="52">
        <f>N242*VLOOKUP($A241,Hypothèses!$A$9:$H$28,8,FALSE)*(1+$E$19)^(N$21-1)/1000</f>
        <v>0</v>
      </c>
      <c r="O243" s="52">
        <f>O242*VLOOKUP($A241,Hypothèses!$A$9:$H$28,8,FALSE)*(1+$E$19)^(O$21-1)/1000</f>
        <v>0</v>
      </c>
      <c r="P243" s="52">
        <f>P242*VLOOKUP($A241,Hypothèses!$A$9:$H$28,8,FALSE)*(1+$E$19)^(P$21-1)/1000</f>
        <v>0</v>
      </c>
      <c r="Q243" s="52">
        <f>Q242*VLOOKUP($A241,Hypothèses!$A$9:$H$28,8,FALSE)*(1+$E$19)^(Q$21-1)/1000</f>
        <v>0</v>
      </c>
      <c r="R243" s="52">
        <f>R242*VLOOKUP($A241,Hypothèses!$A$9:$H$28,8,FALSE)*(1+$E$19)^(R$21-1)/1000</f>
        <v>0</v>
      </c>
      <c r="S243" s="52">
        <f>S242*VLOOKUP($A241,Hypothèses!$A$9:$H$28,8,FALSE)*(1+$E$19)^(S$21-1)/1000</f>
        <v>0</v>
      </c>
      <c r="T243" s="52">
        <f>T242*VLOOKUP($A241,Hypothèses!$A$9:$H$28,8,FALSE)*(1+$E$19)^(T$21-1)/1000</f>
        <v>0</v>
      </c>
      <c r="U243" s="52">
        <f>U242*VLOOKUP($A241,Hypothèses!$A$9:$H$28,8,FALSE)*(1+$E$19)^(U$21-1)/1000</f>
        <v>0</v>
      </c>
      <c r="V243" s="52">
        <f>V242*VLOOKUP($A241,Hypothèses!$A$9:$H$28,8,FALSE)*(1+$E$19)^(V$21-1)/1000</f>
        <v>0</v>
      </c>
      <c r="W243" s="52">
        <f>W242*VLOOKUP($A241,Hypothèses!$A$9:$H$28,8,FALSE)*(1+$E$19)^(W$21-1)/1000</f>
        <v>0</v>
      </c>
      <c r="X243" s="52">
        <f>X242*VLOOKUP($A241,Hypothèses!$A$9:$H$28,8,FALSE)*(1+$E$19)^(X$21-1)/1000</f>
        <v>0</v>
      </c>
    </row>
    <row r="244" spans="1:24" hidden="1" outlineLevel="2" x14ac:dyDescent="0.25">
      <c r="A244" s="555" t="str">
        <f>Hypothèses!A17</f>
        <v>Véhicule n°9</v>
      </c>
      <c r="B244" s="130" t="s">
        <v>65</v>
      </c>
      <c r="C244" s="124"/>
      <c r="D244" s="50"/>
      <c r="E244" s="213"/>
      <c r="F244" s="213"/>
      <c r="G244" s="213"/>
      <c r="H244" s="213"/>
      <c r="I244" s="213"/>
      <c r="J244" s="213"/>
      <c r="K244" s="213"/>
      <c r="L244" s="213"/>
      <c r="M244" s="213"/>
      <c r="N244" s="213"/>
      <c r="O244" s="213"/>
      <c r="P244" s="213"/>
      <c r="Q244" s="213"/>
      <c r="R244" s="213"/>
      <c r="S244" s="213"/>
      <c r="T244" s="213"/>
      <c r="U244" s="213"/>
      <c r="V244" s="213"/>
      <c r="W244" s="213"/>
      <c r="X244" s="213"/>
    </row>
    <row r="245" spans="1:24" hidden="1" outlineLevel="2" x14ac:dyDescent="0.25">
      <c r="A245" s="556"/>
      <c r="B245" s="46" t="s">
        <v>140</v>
      </c>
      <c r="C245" s="46"/>
      <c r="D245" s="88"/>
      <c r="E245" s="52">
        <f>E244*VLOOKUP($A244,Hypothèses!$A$9:$H$28,6,FALSE)</f>
        <v>0</v>
      </c>
      <c r="F245" s="52">
        <f>F244*VLOOKUP($A244,Hypothèses!$A$9:$H$28,6,FALSE)</f>
        <v>0</v>
      </c>
      <c r="G245" s="52">
        <f>G244*VLOOKUP($A244,Hypothèses!$A$9:$H$28,6,FALSE)</f>
        <v>0</v>
      </c>
      <c r="H245" s="52">
        <f>H244*VLOOKUP($A244,Hypothèses!$A$9:$H$28,6,FALSE)</f>
        <v>0</v>
      </c>
      <c r="I245" s="52">
        <f>I244*VLOOKUP($A244,Hypothèses!$A$9:$H$28,6,FALSE)</f>
        <v>0</v>
      </c>
      <c r="J245" s="52">
        <f>J244*VLOOKUP($A244,Hypothèses!$A$9:$H$28,6,FALSE)</f>
        <v>0</v>
      </c>
      <c r="K245" s="52">
        <f>K244*VLOOKUP($A244,Hypothèses!$A$9:$H$28,6,FALSE)</f>
        <v>0</v>
      </c>
      <c r="L245" s="52">
        <f>L244*VLOOKUP($A244,Hypothèses!$A$9:$H$28,6,FALSE)</f>
        <v>0</v>
      </c>
      <c r="M245" s="52">
        <f>M244*VLOOKUP($A244,Hypothèses!$A$9:$H$28,6,FALSE)</f>
        <v>0</v>
      </c>
      <c r="N245" s="52">
        <f>N244*VLOOKUP($A244,Hypothèses!$A$9:$H$28,6,FALSE)</f>
        <v>0</v>
      </c>
      <c r="O245" s="52">
        <f>O244*VLOOKUP($A244,Hypothèses!$A$9:$H$28,6,FALSE)</f>
        <v>0</v>
      </c>
      <c r="P245" s="52">
        <f>P244*VLOOKUP($A244,Hypothèses!$A$9:$H$28,6,FALSE)</f>
        <v>0</v>
      </c>
      <c r="Q245" s="52">
        <f>Q244*VLOOKUP($A244,Hypothèses!$A$9:$H$28,6,FALSE)</f>
        <v>0</v>
      </c>
      <c r="R245" s="52">
        <f>R244*VLOOKUP($A244,Hypothèses!$A$9:$H$28,6,FALSE)</f>
        <v>0</v>
      </c>
      <c r="S245" s="52">
        <f>S244*VLOOKUP($A244,Hypothèses!$A$9:$H$28,6,FALSE)</f>
        <v>0</v>
      </c>
      <c r="T245" s="52">
        <f>T244*VLOOKUP($A244,Hypothèses!$A$9:$H$28,6,FALSE)</f>
        <v>0</v>
      </c>
      <c r="U245" s="52">
        <f>U244*VLOOKUP($A244,Hypothèses!$A$9:$H$28,6,FALSE)</f>
        <v>0</v>
      </c>
      <c r="V245" s="52">
        <f>V244*VLOOKUP($A244,Hypothèses!$A$9:$H$28,6,FALSE)</f>
        <v>0</v>
      </c>
      <c r="W245" s="52">
        <f>W244*VLOOKUP($A244,Hypothèses!$A$9:$H$28,6,FALSE)</f>
        <v>0</v>
      </c>
      <c r="X245" s="52">
        <f>X244*VLOOKUP($A244,Hypothèses!$A$9:$H$28,6,FALSE)</f>
        <v>0</v>
      </c>
    </row>
    <row r="246" spans="1:24" hidden="1" outlineLevel="2" x14ac:dyDescent="0.25">
      <c r="A246" s="557"/>
      <c r="B246" s="46" t="s">
        <v>138</v>
      </c>
      <c r="C246" s="46"/>
      <c r="D246" s="48"/>
      <c r="E246" s="52">
        <f>E245*VLOOKUP($A244,Hypothèses!$A$9:$H$28,8,FALSE)*(1+$E$19)^(E$21-1)/1000</f>
        <v>0</v>
      </c>
      <c r="F246" s="52">
        <f>F245*VLOOKUP($A244,Hypothèses!$A$9:$H$28,8,FALSE)*(1+$E$19)^(F$21-1)/1000</f>
        <v>0</v>
      </c>
      <c r="G246" s="52">
        <f>G245*VLOOKUP($A244,Hypothèses!$A$9:$H$28,8,FALSE)*(1+$E$19)^(G$21-1)/1000</f>
        <v>0</v>
      </c>
      <c r="H246" s="52">
        <f>H245*VLOOKUP($A244,Hypothèses!$A$9:$H$28,8,FALSE)*(1+$E$19)^(H$21-1)/1000</f>
        <v>0</v>
      </c>
      <c r="I246" s="52">
        <f>I245*VLOOKUP($A244,Hypothèses!$A$9:$H$28,8,FALSE)*(1+$E$19)^(I$21-1)/1000</f>
        <v>0</v>
      </c>
      <c r="J246" s="52">
        <f>J245*VLOOKUP($A244,Hypothèses!$A$9:$H$28,8,FALSE)*(1+$E$19)^(J$21-1)/1000</f>
        <v>0</v>
      </c>
      <c r="K246" s="52">
        <f>K245*VLOOKUP($A244,Hypothèses!$A$9:$H$28,8,FALSE)*(1+$E$19)^(K$21-1)/1000</f>
        <v>0</v>
      </c>
      <c r="L246" s="52">
        <f>L245*VLOOKUP($A244,Hypothèses!$A$9:$H$28,8,FALSE)*(1+$E$19)^(L$21-1)/1000</f>
        <v>0</v>
      </c>
      <c r="M246" s="52">
        <f>M245*VLOOKUP($A244,Hypothèses!$A$9:$H$28,8,FALSE)*(1+$E$19)^(M$21-1)/1000</f>
        <v>0</v>
      </c>
      <c r="N246" s="52">
        <f>N245*VLOOKUP($A244,Hypothèses!$A$9:$H$28,8,FALSE)*(1+$E$19)^(N$21-1)/1000</f>
        <v>0</v>
      </c>
      <c r="O246" s="52">
        <f>O245*VLOOKUP($A244,Hypothèses!$A$9:$H$28,8,FALSE)*(1+$E$19)^(O$21-1)/1000</f>
        <v>0</v>
      </c>
      <c r="P246" s="52">
        <f>P245*VLOOKUP($A244,Hypothèses!$A$9:$H$28,8,FALSE)*(1+$E$19)^(P$21-1)/1000</f>
        <v>0</v>
      </c>
      <c r="Q246" s="52">
        <f>Q245*VLOOKUP($A244,Hypothèses!$A$9:$H$28,8,FALSE)*(1+$E$19)^(Q$21-1)/1000</f>
        <v>0</v>
      </c>
      <c r="R246" s="52">
        <f>R245*VLOOKUP($A244,Hypothèses!$A$9:$H$28,8,FALSE)*(1+$E$19)^(R$21-1)/1000</f>
        <v>0</v>
      </c>
      <c r="S246" s="52">
        <f>S245*VLOOKUP($A244,Hypothèses!$A$9:$H$28,8,FALSE)*(1+$E$19)^(S$21-1)/1000</f>
        <v>0</v>
      </c>
      <c r="T246" s="52">
        <f>T245*VLOOKUP($A244,Hypothèses!$A$9:$H$28,8,FALSE)*(1+$E$19)^(T$21-1)/1000</f>
        <v>0</v>
      </c>
      <c r="U246" s="52">
        <f>U245*VLOOKUP($A244,Hypothèses!$A$9:$H$28,8,FALSE)*(1+$E$19)^(U$21-1)/1000</f>
        <v>0</v>
      </c>
      <c r="V246" s="52">
        <f>V245*VLOOKUP($A244,Hypothèses!$A$9:$H$28,8,FALSE)*(1+$E$19)^(V$21-1)/1000</f>
        <v>0</v>
      </c>
      <c r="W246" s="52">
        <f>W245*VLOOKUP($A244,Hypothèses!$A$9:$H$28,8,FALSE)*(1+$E$19)^(W$21-1)/1000</f>
        <v>0</v>
      </c>
      <c r="X246" s="52">
        <f>X245*VLOOKUP($A244,Hypothèses!$A$9:$H$28,8,FALSE)*(1+$E$19)^(X$21-1)/1000</f>
        <v>0</v>
      </c>
    </row>
    <row r="247" spans="1:24" hidden="1" outlineLevel="2" x14ac:dyDescent="0.25">
      <c r="A247" s="555" t="str">
        <f>Hypothèses!A18</f>
        <v>Véhicule n°10</v>
      </c>
      <c r="B247" s="130" t="s">
        <v>65</v>
      </c>
      <c r="C247" s="124"/>
      <c r="D247" s="50"/>
      <c r="E247" s="213"/>
      <c r="F247" s="213"/>
      <c r="G247" s="213"/>
      <c r="H247" s="213"/>
      <c r="I247" s="213"/>
      <c r="J247" s="213"/>
      <c r="K247" s="213"/>
      <c r="L247" s="213"/>
      <c r="M247" s="213"/>
      <c r="N247" s="213"/>
      <c r="O247" s="213"/>
      <c r="P247" s="213"/>
      <c r="Q247" s="213"/>
      <c r="R247" s="213"/>
      <c r="S247" s="213"/>
      <c r="T247" s="213"/>
      <c r="U247" s="213"/>
      <c r="V247" s="213"/>
      <c r="W247" s="213"/>
      <c r="X247" s="213"/>
    </row>
    <row r="248" spans="1:24" hidden="1" outlineLevel="2" x14ac:dyDescent="0.25">
      <c r="A248" s="556"/>
      <c r="B248" s="46" t="s">
        <v>140</v>
      </c>
      <c r="C248" s="46"/>
      <c r="D248" s="88"/>
      <c r="E248" s="52">
        <f>E247*VLOOKUP($A247,Hypothèses!$A$9:$H$28,6,FALSE)</f>
        <v>0</v>
      </c>
      <c r="F248" s="52">
        <f>F247*VLOOKUP($A247,Hypothèses!$A$9:$H$28,6,FALSE)</f>
        <v>0</v>
      </c>
      <c r="G248" s="52">
        <f>G247*VLOOKUP($A247,Hypothèses!$A$9:$H$28,6,FALSE)</f>
        <v>0</v>
      </c>
      <c r="H248" s="52">
        <f>H247*VLOOKUP($A247,Hypothèses!$A$9:$H$28,6,FALSE)</f>
        <v>0</v>
      </c>
      <c r="I248" s="52">
        <f>I247*VLOOKUP($A247,Hypothèses!$A$9:$H$28,6,FALSE)</f>
        <v>0</v>
      </c>
      <c r="J248" s="52">
        <f>J247*VLOOKUP($A247,Hypothèses!$A$9:$H$28,6,FALSE)</f>
        <v>0</v>
      </c>
      <c r="K248" s="52">
        <f>K247*VLOOKUP($A247,Hypothèses!$A$9:$H$28,6,FALSE)</f>
        <v>0</v>
      </c>
      <c r="L248" s="52">
        <f>L247*VLOOKUP($A247,Hypothèses!$A$9:$H$28,6,FALSE)</f>
        <v>0</v>
      </c>
      <c r="M248" s="52">
        <f>M247*VLOOKUP($A247,Hypothèses!$A$9:$H$28,6,FALSE)</f>
        <v>0</v>
      </c>
      <c r="N248" s="52">
        <f>N247*VLOOKUP($A247,Hypothèses!$A$9:$H$28,6,FALSE)</f>
        <v>0</v>
      </c>
      <c r="O248" s="52">
        <f>O247*VLOOKUP($A247,Hypothèses!$A$9:$H$28,6,FALSE)</f>
        <v>0</v>
      </c>
      <c r="P248" s="52">
        <f>P247*VLOOKUP($A247,Hypothèses!$A$9:$H$28,6,FALSE)</f>
        <v>0</v>
      </c>
      <c r="Q248" s="52">
        <f>Q247*VLOOKUP($A247,Hypothèses!$A$9:$H$28,6,FALSE)</f>
        <v>0</v>
      </c>
      <c r="R248" s="52">
        <f>R247*VLOOKUP($A247,Hypothèses!$A$9:$H$28,6,FALSE)</f>
        <v>0</v>
      </c>
      <c r="S248" s="52">
        <f>S247*VLOOKUP($A247,Hypothèses!$A$9:$H$28,6,FALSE)</f>
        <v>0</v>
      </c>
      <c r="T248" s="52">
        <f>T247*VLOOKUP($A247,Hypothèses!$A$9:$H$28,6,FALSE)</f>
        <v>0</v>
      </c>
      <c r="U248" s="52">
        <f>U247*VLOOKUP($A247,Hypothèses!$A$9:$H$28,6,FALSE)</f>
        <v>0</v>
      </c>
      <c r="V248" s="52">
        <f>V247*VLOOKUP($A247,Hypothèses!$A$9:$H$28,6,FALSE)</f>
        <v>0</v>
      </c>
      <c r="W248" s="52">
        <f>W247*VLOOKUP($A247,Hypothèses!$A$9:$H$28,6,FALSE)</f>
        <v>0</v>
      </c>
      <c r="X248" s="52">
        <f>X247*VLOOKUP($A247,Hypothèses!$A$9:$H$28,6,FALSE)</f>
        <v>0</v>
      </c>
    </row>
    <row r="249" spans="1:24" hidden="1" outlineLevel="2" x14ac:dyDescent="0.25">
      <c r="A249" s="557"/>
      <c r="B249" s="46" t="s">
        <v>138</v>
      </c>
      <c r="C249" s="46"/>
      <c r="D249" s="55"/>
      <c r="E249" s="52">
        <f>E248*VLOOKUP($A247,Hypothèses!$A$9:$H$28,8,FALSE)*(1+$E$19)^(E$21-1)/1000</f>
        <v>0</v>
      </c>
      <c r="F249" s="52">
        <f>F248*VLOOKUP($A247,Hypothèses!$A$9:$H$28,8,FALSE)*(1+$E$19)^(F$21-1)/1000</f>
        <v>0</v>
      </c>
      <c r="G249" s="52">
        <f>G248*VLOOKUP($A247,Hypothèses!$A$9:$H$28,8,FALSE)*(1+$E$19)^(G$21-1)/1000</f>
        <v>0</v>
      </c>
      <c r="H249" s="52">
        <f>H248*VLOOKUP($A247,Hypothèses!$A$9:$H$28,8,FALSE)*(1+$E$19)^(H$21-1)/1000</f>
        <v>0</v>
      </c>
      <c r="I249" s="52">
        <f>I248*VLOOKUP($A247,Hypothèses!$A$9:$H$28,8,FALSE)*(1+$E$19)^(I$21-1)/1000</f>
        <v>0</v>
      </c>
      <c r="J249" s="52">
        <f>J248*VLOOKUP($A247,Hypothèses!$A$9:$H$28,8,FALSE)*(1+$E$19)^(J$21-1)/1000</f>
        <v>0</v>
      </c>
      <c r="K249" s="52">
        <f>K248*VLOOKUP($A247,Hypothèses!$A$9:$H$28,8,FALSE)*(1+$E$19)^(K$21-1)/1000</f>
        <v>0</v>
      </c>
      <c r="L249" s="52">
        <f>L248*VLOOKUP($A247,Hypothèses!$A$9:$H$28,8,FALSE)*(1+$E$19)^(L$21-1)/1000</f>
        <v>0</v>
      </c>
      <c r="M249" s="52">
        <f>M248*VLOOKUP($A247,Hypothèses!$A$9:$H$28,8,FALSE)*(1+$E$19)^(M$21-1)/1000</f>
        <v>0</v>
      </c>
      <c r="N249" s="52">
        <f>N248*VLOOKUP($A247,Hypothèses!$A$9:$H$28,8,FALSE)*(1+$E$19)^(N$21-1)/1000</f>
        <v>0</v>
      </c>
      <c r="O249" s="52">
        <f>O248*VLOOKUP($A247,Hypothèses!$A$9:$H$28,8,FALSE)*(1+$E$19)^(O$21-1)/1000</f>
        <v>0</v>
      </c>
      <c r="P249" s="52">
        <f>P248*VLOOKUP($A247,Hypothèses!$A$9:$H$28,8,FALSE)*(1+$E$19)^(P$21-1)/1000</f>
        <v>0</v>
      </c>
      <c r="Q249" s="52">
        <f>Q248*VLOOKUP($A247,Hypothèses!$A$9:$H$28,8,FALSE)*(1+$E$19)^(Q$21-1)/1000</f>
        <v>0</v>
      </c>
      <c r="R249" s="52">
        <f>R248*VLOOKUP($A247,Hypothèses!$A$9:$H$28,8,FALSE)*(1+$E$19)^(R$21-1)/1000</f>
        <v>0</v>
      </c>
      <c r="S249" s="52">
        <f>S248*VLOOKUP($A247,Hypothèses!$A$9:$H$28,8,FALSE)*(1+$E$19)^(S$21-1)/1000</f>
        <v>0</v>
      </c>
      <c r="T249" s="52">
        <f>T248*VLOOKUP($A247,Hypothèses!$A$9:$H$28,8,FALSE)*(1+$E$19)^(T$21-1)/1000</f>
        <v>0</v>
      </c>
      <c r="U249" s="52">
        <f>U248*VLOOKUP($A247,Hypothèses!$A$9:$H$28,8,FALSE)*(1+$E$19)^(U$21-1)/1000</f>
        <v>0</v>
      </c>
      <c r="V249" s="52">
        <f>V248*VLOOKUP($A247,Hypothèses!$A$9:$H$28,8,FALSE)*(1+$E$19)^(V$21-1)/1000</f>
        <v>0</v>
      </c>
      <c r="W249" s="52">
        <f>W248*VLOOKUP($A247,Hypothèses!$A$9:$H$28,8,FALSE)*(1+$E$19)^(W$21-1)/1000</f>
        <v>0</v>
      </c>
      <c r="X249" s="52">
        <f>X248*VLOOKUP($A247,Hypothèses!$A$9:$H$28,8,FALSE)*(1+$E$19)^(X$21-1)/1000</f>
        <v>0</v>
      </c>
    </row>
    <row r="250" spans="1:24" hidden="1" outlineLevel="3" x14ac:dyDescent="0.25">
      <c r="A250" s="555" t="str">
        <f>Hypothèses!A$19</f>
        <v>Véhicule n°11</v>
      </c>
      <c r="B250" s="130" t="s">
        <v>65</v>
      </c>
      <c r="C250" s="124"/>
      <c r="D250" s="50"/>
      <c r="E250" s="213"/>
      <c r="F250" s="213"/>
      <c r="G250" s="213"/>
      <c r="H250" s="213"/>
      <c r="I250" s="213"/>
      <c r="J250" s="213"/>
      <c r="K250" s="213"/>
      <c r="L250" s="213"/>
      <c r="M250" s="213"/>
      <c r="N250" s="213"/>
      <c r="O250" s="213"/>
      <c r="P250" s="213"/>
      <c r="Q250" s="213"/>
      <c r="R250" s="213"/>
      <c r="S250" s="213"/>
      <c r="T250" s="213"/>
      <c r="U250" s="213"/>
      <c r="V250" s="213"/>
      <c r="W250" s="213"/>
      <c r="X250" s="213"/>
    </row>
    <row r="251" spans="1:24" hidden="1" outlineLevel="3" x14ac:dyDescent="0.25">
      <c r="A251" s="556"/>
      <c r="B251" s="46" t="s">
        <v>140</v>
      </c>
      <c r="C251" s="46"/>
      <c r="D251" s="87"/>
      <c r="E251" s="52">
        <f>E250*VLOOKUP($A250,Hypothèses!$A$9:$H$28,6,FALSE)</f>
        <v>0</v>
      </c>
      <c r="F251" s="52">
        <f>F250*VLOOKUP($A250,Hypothèses!$A$9:$H$28,6,FALSE)</f>
        <v>0</v>
      </c>
      <c r="G251" s="52">
        <f>G250*VLOOKUP($A250,Hypothèses!$A$9:$H$28,6,FALSE)</f>
        <v>0</v>
      </c>
      <c r="H251" s="52">
        <f>H250*VLOOKUP($A250,Hypothèses!$A$9:$H$28,6,FALSE)</f>
        <v>0</v>
      </c>
      <c r="I251" s="52">
        <f>I250*VLOOKUP($A250,Hypothèses!$A$9:$H$28,6,FALSE)</f>
        <v>0</v>
      </c>
      <c r="J251" s="52">
        <f>J250*VLOOKUP($A250,Hypothèses!$A$9:$H$28,6,FALSE)</f>
        <v>0</v>
      </c>
      <c r="K251" s="52">
        <f>K250*VLOOKUP($A250,Hypothèses!$A$9:$H$28,6,FALSE)</f>
        <v>0</v>
      </c>
      <c r="L251" s="52">
        <f>L250*VLOOKUP($A250,Hypothèses!$A$9:$H$28,6,FALSE)</f>
        <v>0</v>
      </c>
      <c r="M251" s="52">
        <f>M250*VLOOKUP($A250,Hypothèses!$A$9:$H$28,6,FALSE)</f>
        <v>0</v>
      </c>
      <c r="N251" s="52">
        <f>N250*VLOOKUP($A250,Hypothèses!$A$9:$H$28,6,FALSE)</f>
        <v>0</v>
      </c>
      <c r="O251" s="52">
        <f>O250*VLOOKUP($A250,Hypothèses!$A$9:$H$28,6,FALSE)</f>
        <v>0</v>
      </c>
      <c r="P251" s="52">
        <f>P250*VLOOKUP($A250,Hypothèses!$A$9:$H$28,6,FALSE)</f>
        <v>0</v>
      </c>
      <c r="Q251" s="52">
        <f>Q250*VLOOKUP($A250,Hypothèses!$A$9:$H$28,6,FALSE)</f>
        <v>0</v>
      </c>
      <c r="R251" s="52">
        <f>R250*VLOOKUP($A250,Hypothèses!$A$9:$H$28,6,FALSE)</f>
        <v>0</v>
      </c>
      <c r="S251" s="52">
        <f>S250*VLOOKUP($A250,Hypothèses!$A$9:$H$28,6,FALSE)</f>
        <v>0</v>
      </c>
      <c r="T251" s="52">
        <f>T250*VLOOKUP($A250,Hypothèses!$A$9:$H$28,6,FALSE)</f>
        <v>0</v>
      </c>
      <c r="U251" s="52">
        <f>U250*VLOOKUP($A250,Hypothèses!$A$9:$H$28,6,FALSE)</f>
        <v>0</v>
      </c>
      <c r="V251" s="52">
        <f>V250*VLOOKUP($A250,Hypothèses!$A$9:$H$28,6,FALSE)</f>
        <v>0</v>
      </c>
      <c r="W251" s="52">
        <f>W250*VLOOKUP($A250,Hypothèses!$A$9:$H$28,6,FALSE)</f>
        <v>0</v>
      </c>
      <c r="X251" s="52">
        <f>X250*VLOOKUP($A250,Hypothèses!$A$9:$H$28,6,FALSE)</f>
        <v>0</v>
      </c>
    </row>
    <row r="252" spans="1:24" hidden="1" outlineLevel="3" x14ac:dyDescent="0.25">
      <c r="A252" s="557"/>
      <c r="B252" s="46" t="s">
        <v>138</v>
      </c>
      <c r="C252" s="46"/>
      <c r="D252" s="48"/>
      <c r="E252" s="52">
        <f>E251*VLOOKUP($A250,Hypothèses!$A$9:$H$28,8,FALSE)*(1+$E$19)^(E$21-1)/1000</f>
        <v>0</v>
      </c>
      <c r="F252" s="52">
        <f>F251*VLOOKUP($A250,Hypothèses!$A$9:$H$28,8,FALSE)*(1+$E$19)^(F$21-1)/1000</f>
        <v>0</v>
      </c>
      <c r="G252" s="52">
        <f>G251*VLOOKUP($A250,Hypothèses!$A$9:$H$28,8,FALSE)*(1+$E$19)^(G$21-1)/1000</f>
        <v>0</v>
      </c>
      <c r="H252" s="52">
        <f>H251*VLOOKUP($A250,Hypothèses!$A$9:$H$28,8,FALSE)*(1+$E$19)^(H$21-1)/1000</f>
        <v>0</v>
      </c>
      <c r="I252" s="52">
        <f>I251*VLOOKUP($A250,Hypothèses!$A$9:$H$28,8,FALSE)*(1+$E$19)^(I$21-1)/1000</f>
        <v>0</v>
      </c>
      <c r="J252" s="52">
        <f>J251*VLOOKUP($A250,Hypothèses!$A$9:$H$28,8,FALSE)*(1+$E$19)^(J$21-1)/1000</f>
        <v>0</v>
      </c>
      <c r="K252" s="52">
        <f>K251*VLOOKUP($A250,Hypothèses!$A$9:$H$28,8,FALSE)*(1+$E$19)^(K$21-1)/1000</f>
        <v>0</v>
      </c>
      <c r="L252" s="52">
        <f>L251*VLOOKUP($A250,Hypothèses!$A$9:$H$28,8,FALSE)*(1+$E$19)^(L$21-1)/1000</f>
        <v>0</v>
      </c>
      <c r="M252" s="52">
        <f>M251*VLOOKUP($A250,Hypothèses!$A$9:$H$28,8,FALSE)*(1+$E$19)^(M$21-1)/1000</f>
        <v>0</v>
      </c>
      <c r="N252" s="52">
        <f>N251*VLOOKUP($A250,Hypothèses!$A$9:$H$28,8,FALSE)*(1+$E$19)^(N$21-1)/1000</f>
        <v>0</v>
      </c>
      <c r="O252" s="52">
        <f>O251*VLOOKUP($A250,Hypothèses!$A$9:$H$28,8,FALSE)*(1+$E$19)^(O$21-1)/1000</f>
        <v>0</v>
      </c>
      <c r="P252" s="52">
        <f>P251*VLOOKUP($A250,Hypothèses!$A$9:$H$28,8,FALSE)*(1+$E$19)^(P$21-1)/1000</f>
        <v>0</v>
      </c>
      <c r="Q252" s="52">
        <f>Q251*VLOOKUP($A250,Hypothèses!$A$9:$H$28,8,FALSE)*(1+$E$19)^(Q$21-1)/1000</f>
        <v>0</v>
      </c>
      <c r="R252" s="52">
        <f>R251*VLOOKUP($A250,Hypothèses!$A$9:$H$28,8,FALSE)*(1+$E$19)^(R$21-1)/1000</f>
        <v>0</v>
      </c>
      <c r="S252" s="52">
        <f>S251*VLOOKUP($A250,Hypothèses!$A$9:$H$28,8,FALSE)*(1+$E$19)^(S$21-1)/1000</f>
        <v>0</v>
      </c>
      <c r="T252" s="52">
        <f>T251*VLOOKUP($A250,Hypothèses!$A$9:$H$28,8,FALSE)*(1+$E$19)^(T$21-1)/1000</f>
        <v>0</v>
      </c>
      <c r="U252" s="52">
        <f>U251*VLOOKUP($A250,Hypothèses!$A$9:$H$28,8,FALSE)*(1+$E$19)^(U$21-1)/1000</f>
        <v>0</v>
      </c>
      <c r="V252" s="52">
        <f>V251*VLOOKUP($A250,Hypothèses!$A$9:$H$28,8,FALSE)*(1+$E$19)^(V$21-1)/1000</f>
        <v>0</v>
      </c>
      <c r="W252" s="52">
        <f>W251*VLOOKUP($A250,Hypothèses!$A$9:$H$28,8,FALSE)*(1+$E$19)^(W$21-1)/1000</f>
        <v>0</v>
      </c>
      <c r="X252" s="52">
        <f>X251*VLOOKUP($A250,Hypothèses!$A$9:$H$28,8,FALSE)*(1+$E$19)^(X$21-1)/1000</f>
        <v>0</v>
      </c>
    </row>
    <row r="253" spans="1:24" hidden="1" outlineLevel="3" x14ac:dyDescent="0.25">
      <c r="A253" s="555" t="str">
        <f>Hypothèses!A$20</f>
        <v>Véhicule n°12</v>
      </c>
      <c r="B253" s="130" t="s">
        <v>65</v>
      </c>
      <c r="C253" s="124"/>
      <c r="D253" s="50"/>
      <c r="E253" s="213"/>
      <c r="F253" s="213"/>
      <c r="G253" s="213"/>
      <c r="H253" s="213"/>
      <c r="I253" s="213"/>
      <c r="J253" s="213"/>
      <c r="K253" s="213"/>
      <c r="L253" s="213"/>
      <c r="M253" s="213"/>
      <c r="N253" s="213"/>
      <c r="O253" s="213"/>
      <c r="P253" s="213"/>
      <c r="Q253" s="213"/>
      <c r="R253" s="213"/>
      <c r="S253" s="213"/>
      <c r="T253" s="213"/>
      <c r="U253" s="213"/>
      <c r="V253" s="213"/>
      <c r="W253" s="213"/>
      <c r="X253" s="213"/>
    </row>
    <row r="254" spans="1:24" hidden="1" outlineLevel="3" x14ac:dyDescent="0.25">
      <c r="A254" s="556"/>
      <c r="B254" s="46" t="s">
        <v>140</v>
      </c>
      <c r="C254" s="46"/>
      <c r="D254" s="87"/>
      <c r="E254" s="52">
        <f>E253*VLOOKUP($A253,Hypothèses!$A$9:$H$28,6,FALSE)</f>
        <v>0</v>
      </c>
      <c r="F254" s="52">
        <f>F253*VLOOKUP($A253,Hypothèses!$A$9:$H$28,6,FALSE)</f>
        <v>0</v>
      </c>
      <c r="G254" s="52">
        <f>G253*VLOOKUP($A253,Hypothèses!$A$9:$H$28,6,FALSE)</f>
        <v>0</v>
      </c>
      <c r="H254" s="52">
        <f>H253*VLOOKUP($A253,Hypothèses!$A$9:$H$28,6,FALSE)</f>
        <v>0</v>
      </c>
      <c r="I254" s="52">
        <f>I253*VLOOKUP($A253,Hypothèses!$A$9:$H$28,6,FALSE)</f>
        <v>0</v>
      </c>
      <c r="J254" s="52">
        <f>J253*VLOOKUP($A253,Hypothèses!$A$9:$H$28,6,FALSE)</f>
        <v>0</v>
      </c>
      <c r="K254" s="52">
        <f>K253*VLOOKUP($A253,Hypothèses!$A$9:$H$28,6,FALSE)</f>
        <v>0</v>
      </c>
      <c r="L254" s="52">
        <f>L253*VLOOKUP($A253,Hypothèses!$A$9:$H$28,6,FALSE)</f>
        <v>0</v>
      </c>
      <c r="M254" s="52">
        <f>M253*VLOOKUP($A253,Hypothèses!$A$9:$H$28,6,FALSE)</f>
        <v>0</v>
      </c>
      <c r="N254" s="52">
        <f>N253*VLOOKUP($A253,Hypothèses!$A$9:$H$28,6,FALSE)</f>
        <v>0</v>
      </c>
      <c r="O254" s="52">
        <f>O253*VLOOKUP($A253,Hypothèses!$A$9:$H$28,6,FALSE)</f>
        <v>0</v>
      </c>
      <c r="P254" s="52">
        <f>P253*VLOOKUP($A253,Hypothèses!$A$9:$H$28,6,FALSE)</f>
        <v>0</v>
      </c>
      <c r="Q254" s="52">
        <f>Q253*VLOOKUP($A253,Hypothèses!$A$9:$H$28,6,FALSE)</f>
        <v>0</v>
      </c>
      <c r="R254" s="52">
        <f>R253*VLOOKUP($A253,Hypothèses!$A$9:$H$28,6,FALSE)</f>
        <v>0</v>
      </c>
      <c r="S254" s="52">
        <f>S253*VLOOKUP($A253,Hypothèses!$A$9:$H$28,6,FALSE)</f>
        <v>0</v>
      </c>
      <c r="T254" s="52">
        <f>T253*VLOOKUP($A253,Hypothèses!$A$9:$H$28,6,FALSE)</f>
        <v>0</v>
      </c>
      <c r="U254" s="52">
        <f>U253*VLOOKUP($A253,Hypothèses!$A$9:$H$28,6,FALSE)</f>
        <v>0</v>
      </c>
      <c r="V254" s="52">
        <f>V253*VLOOKUP($A253,Hypothèses!$A$9:$H$28,6,FALSE)</f>
        <v>0</v>
      </c>
      <c r="W254" s="52">
        <f>W253*VLOOKUP($A253,Hypothèses!$A$9:$H$28,6,FALSE)</f>
        <v>0</v>
      </c>
      <c r="X254" s="52">
        <f>X253*VLOOKUP($A253,Hypothèses!$A$9:$H$28,6,FALSE)</f>
        <v>0</v>
      </c>
    </row>
    <row r="255" spans="1:24" hidden="1" outlineLevel="3" x14ac:dyDescent="0.25">
      <c r="A255" s="557"/>
      <c r="B255" s="46" t="s">
        <v>138</v>
      </c>
      <c r="C255" s="46"/>
      <c r="D255" s="48"/>
      <c r="E255" s="52">
        <f>E254*VLOOKUP($A253,Hypothèses!$A$9:$H$28,8,FALSE)*(1+$E$19)^(E$21-1)/1000</f>
        <v>0</v>
      </c>
      <c r="F255" s="52">
        <f>F254*VLOOKUP($A253,Hypothèses!$A$9:$H$28,8,FALSE)*(1+$E$19)^(F$21-1)/1000</f>
        <v>0</v>
      </c>
      <c r="G255" s="52">
        <f>G254*VLOOKUP($A253,Hypothèses!$A$9:$H$28,8,FALSE)*(1+$E$19)^(G$21-1)/1000</f>
        <v>0</v>
      </c>
      <c r="H255" s="52">
        <f>H254*VLOOKUP($A253,Hypothèses!$A$9:$H$28,8,FALSE)*(1+$E$19)^(H$21-1)/1000</f>
        <v>0</v>
      </c>
      <c r="I255" s="52">
        <f>I254*VLOOKUP($A253,Hypothèses!$A$9:$H$28,8,FALSE)*(1+$E$19)^(I$21-1)/1000</f>
        <v>0</v>
      </c>
      <c r="J255" s="52">
        <f>J254*VLOOKUP($A253,Hypothèses!$A$9:$H$28,8,FALSE)*(1+$E$19)^(J$21-1)/1000</f>
        <v>0</v>
      </c>
      <c r="K255" s="52">
        <f>K254*VLOOKUP($A253,Hypothèses!$A$9:$H$28,8,FALSE)*(1+$E$19)^(K$21-1)/1000</f>
        <v>0</v>
      </c>
      <c r="L255" s="52">
        <f>L254*VLOOKUP($A253,Hypothèses!$A$9:$H$28,8,FALSE)*(1+$E$19)^(L$21-1)/1000</f>
        <v>0</v>
      </c>
      <c r="M255" s="52">
        <f>M254*VLOOKUP($A253,Hypothèses!$A$9:$H$28,8,FALSE)*(1+$E$19)^(M$21-1)/1000</f>
        <v>0</v>
      </c>
      <c r="N255" s="52">
        <f>N254*VLOOKUP($A253,Hypothèses!$A$9:$H$28,8,FALSE)*(1+$E$19)^(N$21-1)/1000</f>
        <v>0</v>
      </c>
      <c r="O255" s="52">
        <f>O254*VLOOKUP($A253,Hypothèses!$A$9:$H$28,8,FALSE)*(1+$E$19)^(O$21-1)/1000</f>
        <v>0</v>
      </c>
      <c r="P255" s="52">
        <f>P254*VLOOKUP($A253,Hypothèses!$A$9:$H$28,8,FALSE)*(1+$E$19)^(P$21-1)/1000</f>
        <v>0</v>
      </c>
      <c r="Q255" s="52">
        <f>Q254*VLOOKUP($A253,Hypothèses!$A$9:$H$28,8,FALSE)*(1+$E$19)^(Q$21-1)/1000</f>
        <v>0</v>
      </c>
      <c r="R255" s="52">
        <f>R254*VLOOKUP($A253,Hypothèses!$A$9:$H$28,8,FALSE)*(1+$E$19)^(R$21-1)/1000</f>
        <v>0</v>
      </c>
      <c r="S255" s="52">
        <f>S254*VLOOKUP($A253,Hypothèses!$A$9:$H$28,8,FALSE)*(1+$E$19)^(S$21-1)/1000</f>
        <v>0</v>
      </c>
      <c r="T255" s="52">
        <f>T254*VLOOKUP($A253,Hypothèses!$A$9:$H$28,8,FALSE)*(1+$E$19)^(T$21-1)/1000</f>
        <v>0</v>
      </c>
      <c r="U255" s="52">
        <f>U254*VLOOKUP($A253,Hypothèses!$A$9:$H$28,8,FALSE)*(1+$E$19)^(U$21-1)/1000</f>
        <v>0</v>
      </c>
      <c r="V255" s="52">
        <f>V254*VLOOKUP($A253,Hypothèses!$A$9:$H$28,8,FALSE)*(1+$E$19)^(V$21-1)/1000</f>
        <v>0</v>
      </c>
      <c r="W255" s="52">
        <f>W254*VLOOKUP($A253,Hypothèses!$A$9:$H$28,8,FALSE)*(1+$E$19)^(W$21-1)/1000</f>
        <v>0</v>
      </c>
      <c r="X255" s="52">
        <f>X254*VLOOKUP($A253,Hypothèses!$A$9:$H$28,8,FALSE)*(1+$E$19)^(X$21-1)/1000</f>
        <v>0</v>
      </c>
    </row>
    <row r="256" spans="1:24" hidden="1" outlineLevel="3" x14ac:dyDescent="0.25">
      <c r="A256" s="555" t="str">
        <f>Hypothèses!A$21</f>
        <v>Véhicule n°13</v>
      </c>
      <c r="B256" s="130" t="s">
        <v>65</v>
      </c>
      <c r="C256" s="124"/>
      <c r="D256" s="50"/>
      <c r="E256" s="213"/>
      <c r="F256" s="213"/>
      <c r="G256" s="213"/>
      <c r="H256" s="213"/>
      <c r="I256" s="213"/>
      <c r="J256" s="213"/>
      <c r="K256" s="213"/>
      <c r="L256" s="213"/>
      <c r="M256" s="213"/>
      <c r="N256" s="213"/>
      <c r="O256" s="213"/>
      <c r="P256" s="213"/>
      <c r="Q256" s="213"/>
      <c r="R256" s="213"/>
      <c r="S256" s="213"/>
      <c r="T256" s="213"/>
      <c r="U256" s="213"/>
      <c r="V256" s="213"/>
      <c r="W256" s="213"/>
      <c r="X256" s="213"/>
    </row>
    <row r="257" spans="1:24" hidden="1" outlineLevel="3" x14ac:dyDescent="0.25">
      <c r="A257" s="556"/>
      <c r="B257" s="46" t="s">
        <v>140</v>
      </c>
      <c r="C257" s="46"/>
      <c r="D257" s="88"/>
      <c r="E257" s="52">
        <f>E256*VLOOKUP($A256,Hypothèses!$A$9:$H$28,6,FALSE)</f>
        <v>0</v>
      </c>
      <c r="F257" s="52">
        <f>F256*VLOOKUP($A256,Hypothèses!$A$9:$H$28,6,FALSE)</f>
        <v>0</v>
      </c>
      <c r="G257" s="52">
        <f>G256*VLOOKUP($A256,Hypothèses!$A$9:$H$28,6,FALSE)</f>
        <v>0</v>
      </c>
      <c r="H257" s="52">
        <f>H256*VLOOKUP($A256,Hypothèses!$A$9:$H$28,6,FALSE)</f>
        <v>0</v>
      </c>
      <c r="I257" s="52">
        <f>I256*VLOOKUP($A256,Hypothèses!$A$9:$H$28,6,FALSE)</f>
        <v>0</v>
      </c>
      <c r="J257" s="52">
        <f>J256*VLOOKUP($A256,Hypothèses!$A$9:$H$28,6,FALSE)</f>
        <v>0</v>
      </c>
      <c r="K257" s="52">
        <f>K256*VLOOKUP($A256,Hypothèses!$A$9:$H$28,6,FALSE)</f>
        <v>0</v>
      </c>
      <c r="L257" s="52">
        <f>L256*VLOOKUP($A256,Hypothèses!$A$9:$H$28,6,FALSE)</f>
        <v>0</v>
      </c>
      <c r="M257" s="52">
        <f>M256*VLOOKUP($A256,Hypothèses!$A$9:$H$28,6,FALSE)</f>
        <v>0</v>
      </c>
      <c r="N257" s="52">
        <f>N256*VLOOKUP($A256,Hypothèses!$A$9:$H$28,6,FALSE)</f>
        <v>0</v>
      </c>
      <c r="O257" s="52">
        <f>O256*VLOOKUP($A256,Hypothèses!$A$9:$H$28,6,FALSE)</f>
        <v>0</v>
      </c>
      <c r="P257" s="52">
        <f>P256*VLOOKUP($A256,Hypothèses!$A$9:$H$28,6,FALSE)</f>
        <v>0</v>
      </c>
      <c r="Q257" s="52">
        <f>Q256*VLOOKUP($A256,Hypothèses!$A$9:$H$28,6,FALSE)</f>
        <v>0</v>
      </c>
      <c r="R257" s="52">
        <f>R256*VLOOKUP($A256,Hypothèses!$A$9:$H$28,6,FALSE)</f>
        <v>0</v>
      </c>
      <c r="S257" s="52">
        <f>S256*VLOOKUP($A256,Hypothèses!$A$9:$H$28,6,FALSE)</f>
        <v>0</v>
      </c>
      <c r="T257" s="52">
        <f>T256*VLOOKUP($A256,Hypothèses!$A$9:$H$28,6,FALSE)</f>
        <v>0</v>
      </c>
      <c r="U257" s="52">
        <f>U256*VLOOKUP($A256,Hypothèses!$A$9:$H$28,6,FALSE)</f>
        <v>0</v>
      </c>
      <c r="V257" s="52">
        <f>V256*VLOOKUP($A256,Hypothèses!$A$9:$H$28,6,FALSE)</f>
        <v>0</v>
      </c>
      <c r="W257" s="52">
        <f>W256*VLOOKUP($A256,Hypothèses!$A$9:$H$28,6,FALSE)</f>
        <v>0</v>
      </c>
      <c r="X257" s="52">
        <f>X256*VLOOKUP($A256,Hypothèses!$A$9:$H$28,6,FALSE)</f>
        <v>0</v>
      </c>
    </row>
    <row r="258" spans="1:24" hidden="1" outlineLevel="3" x14ac:dyDescent="0.25">
      <c r="A258" s="557"/>
      <c r="B258" s="46" t="s">
        <v>138</v>
      </c>
      <c r="C258" s="46"/>
      <c r="D258" s="48"/>
      <c r="E258" s="52">
        <f>E257*VLOOKUP($A256,Hypothèses!$A$9:$H$28,8,FALSE)*(1+$E$19)^(E$21-1)/1000</f>
        <v>0</v>
      </c>
      <c r="F258" s="52">
        <f>F257*VLOOKUP($A256,Hypothèses!$A$9:$H$28,8,FALSE)*(1+$E$19)^(F$21-1)/1000</f>
        <v>0</v>
      </c>
      <c r="G258" s="52">
        <f>G257*VLOOKUP($A256,Hypothèses!$A$9:$H$28,8,FALSE)*(1+$E$19)^(G$21-1)/1000</f>
        <v>0</v>
      </c>
      <c r="H258" s="52">
        <f>H257*VLOOKUP($A256,Hypothèses!$A$9:$H$28,8,FALSE)*(1+$E$19)^(H$21-1)/1000</f>
        <v>0</v>
      </c>
      <c r="I258" s="52">
        <f>I257*VLOOKUP($A256,Hypothèses!$A$9:$H$28,8,FALSE)*(1+$E$19)^(I$21-1)/1000</f>
        <v>0</v>
      </c>
      <c r="J258" s="52">
        <f>J257*VLOOKUP($A256,Hypothèses!$A$9:$H$28,8,FALSE)*(1+$E$19)^(J$21-1)/1000</f>
        <v>0</v>
      </c>
      <c r="K258" s="52">
        <f>K257*VLOOKUP($A256,Hypothèses!$A$9:$H$28,8,FALSE)*(1+$E$19)^(K$21-1)/1000</f>
        <v>0</v>
      </c>
      <c r="L258" s="52">
        <f>L257*VLOOKUP($A256,Hypothèses!$A$9:$H$28,8,FALSE)*(1+$E$19)^(L$21-1)/1000</f>
        <v>0</v>
      </c>
      <c r="M258" s="52">
        <f>M257*VLOOKUP($A256,Hypothèses!$A$9:$H$28,8,FALSE)*(1+$E$19)^(M$21-1)/1000</f>
        <v>0</v>
      </c>
      <c r="N258" s="52">
        <f>N257*VLOOKUP($A256,Hypothèses!$A$9:$H$28,8,FALSE)*(1+$E$19)^(N$21-1)/1000</f>
        <v>0</v>
      </c>
      <c r="O258" s="52">
        <f>O257*VLOOKUP($A256,Hypothèses!$A$9:$H$28,8,FALSE)*(1+$E$19)^(O$21-1)/1000</f>
        <v>0</v>
      </c>
      <c r="P258" s="52">
        <f>P257*VLOOKUP($A256,Hypothèses!$A$9:$H$28,8,FALSE)*(1+$E$19)^(P$21-1)/1000</f>
        <v>0</v>
      </c>
      <c r="Q258" s="52">
        <f>Q257*VLOOKUP($A256,Hypothèses!$A$9:$H$28,8,FALSE)*(1+$E$19)^(Q$21-1)/1000</f>
        <v>0</v>
      </c>
      <c r="R258" s="52">
        <f>R257*VLOOKUP($A256,Hypothèses!$A$9:$H$28,8,FALSE)*(1+$E$19)^(R$21-1)/1000</f>
        <v>0</v>
      </c>
      <c r="S258" s="52">
        <f>S257*VLOOKUP($A256,Hypothèses!$A$9:$H$28,8,FALSE)*(1+$E$19)^(S$21-1)/1000</f>
        <v>0</v>
      </c>
      <c r="T258" s="52">
        <f>T257*VLOOKUP($A256,Hypothèses!$A$9:$H$28,8,FALSE)*(1+$E$19)^(T$21-1)/1000</f>
        <v>0</v>
      </c>
      <c r="U258" s="52">
        <f>U257*VLOOKUP($A256,Hypothèses!$A$9:$H$28,8,FALSE)*(1+$E$19)^(U$21-1)/1000</f>
        <v>0</v>
      </c>
      <c r="V258" s="52">
        <f>V257*VLOOKUP($A256,Hypothèses!$A$9:$H$28,8,FALSE)*(1+$E$19)^(V$21-1)/1000</f>
        <v>0</v>
      </c>
      <c r="W258" s="52">
        <f>W257*VLOOKUP($A256,Hypothèses!$A$9:$H$28,8,FALSE)*(1+$E$19)^(W$21-1)/1000</f>
        <v>0</v>
      </c>
      <c r="X258" s="52">
        <f>X257*VLOOKUP($A256,Hypothèses!$A$9:$H$28,8,FALSE)*(1+$E$19)^(X$21-1)/1000</f>
        <v>0</v>
      </c>
    </row>
    <row r="259" spans="1:24" hidden="1" outlineLevel="3" x14ac:dyDescent="0.25">
      <c r="A259" s="555" t="str">
        <f>Hypothèses!A$22</f>
        <v>Véhicule n°14</v>
      </c>
      <c r="B259" s="130" t="s">
        <v>65</v>
      </c>
      <c r="C259" s="124"/>
      <c r="D259" s="50"/>
      <c r="E259" s="213"/>
      <c r="F259" s="213"/>
      <c r="G259" s="213"/>
      <c r="H259" s="213"/>
      <c r="I259" s="213"/>
      <c r="J259" s="213"/>
      <c r="K259" s="213"/>
      <c r="L259" s="213"/>
      <c r="M259" s="213"/>
      <c r="N259" s="213"/>
      <c r="O259" s="213"/>
      <c r="P259" s="213"/>
      <c r="Q259" s="213"/>
      <c r="R259" s="213"/>
      <c r="S259" s="213"/>
      <c r="T259" s="213"/>
      <c r="U259" s="213"/>
      <c r="V259" s="213"/>
      <c r="W259" s="213"/>
      <c r="X259" s="213"/>
    </row>
    <row r="260" spans="1:24" hidden="1" outlineLevel="3" x14ac:dyDescent="0.25">
      <c r="A260" s="556"/>
      <c r="B260" s="46" t="s">
        <v>140</v>
      </c>
      <c r="C260" s="46"/>
      <c r="D260" s="88"/>
      <c r="E260" s="52">
        <f>E259*VLOOKUP($A259,Hypothèses!$A$9:$H$28,6,FALSE)</f>
        <v>0</v>
      </c>
      <c r="F260" s="52">
        <f>F259*VLOOKUP($A259,Hypothèses!$A$9:$H$28,6,FALSE)</f>
        <v>0</v>
      </c>
      <c r="G260" s="52">
        <f>G259*VLOOKUP($A259,Hypothèses!$A$9:$H$28,6,FALSE)</f>
        <v>0</v>
      </c>
      <c r="H260" s="52">
        <f>H259*VLOOKUP($A259,Hypothèses!$A$9:$H$28,6,FALSE)</f>
        <v>0</v>
      </c>
      <c r="I260" s="52">
        <f>I259*VLOOKUP($A259,Hypothèses!$A$9:$H$28,6,FALSE)</f>
        <v>0</v>
      </c>
      <c r="J260" s="52">
        <f>J259*VLOOKUP($A259,Hypothèses!$A$9:$H$28,6,FALSE)</f>
        <v>0</v>
      </c>
      <c r="K260" s="52">
        <f>K259*VLOOKUP($A259,Hypothèses!$A$9:$H$28,6,FALSE)</f>
        <v>0</v>
      </c>
      <c r="L260" s="52">
        <f>L259*VLOOKUP($A259,Hypothèses!$A$9:$H$28,6,FALSE)</f>
        <v>0</v>
      </c>
      <c r="M260" s="52">
        <f>M259*VLOOKUP($A259,Hypothèses!$A$9:$H$28,6,FALSE)</f>
        <v>0</v>
      </c>
      <c r="N260" s="52">
        <f>N259*VLOOKUP($A259,Hypothèses!$A$9:$H$28,6,FALSE)</f>
        <v>0</v>
      </c>
      <c r="O260" s="52">
        <f>O259*VLOOKUP($A259,Hypothèses!$A$9:$H$28,6,FALSE)</f>
        <v>0</v>
      </c>
      <c r="P260" s="52">
        <f>P259*VLOOKUP($A259,Hypothèses!$A$9:$H$28,6,FALSE)</f>
        <v>0</v>
      </c>
      <c r="Q260" s="52">
        <f>Q259*VLOOKUP($A259,Hypothèses!$A$9:$H$28,6,FALSE)</f>
        <v>0</v>
      </c>
      <c r="R260" s="52">
        <f>R259*VLOOKUP($A259,Hypothèses!$A$9:$H$28,6,FALSE)</f>
        <v>0</v>
      </c>
      <c r="S260" s="52">
        <f>S259*VLOOKUP($A259,Hypothèses!$A$9:$H$28,6,FALSE)</f>
        <v>0</v>
      </c>
      <c r="T260" s="52">
        <f>T259*VLOOKUP($A259,Hypothèses!$A$9:$H$28,6,FALSE)</f>
        <v>0</v>
      </c>
      <c r="U260" s="52">
        <f>U259*VLOOKUP($A259,Hypothèses!$A$9:$H$28,6,FALSE)</f>
        <v>0</v>
      </c>
      <c r="V260" s="52">
        <f>V259*VLOOKUP($A259,Hypothèses!$A$9:$H$28,6,FALSE)</f>
        <v>0</v>
      </c>
      <c r="W260" s="52">
        <f>W259*VLOOKUP($A259,Hypothèses!$A$9:$H$28,6,FALSE)</f>
        <v>0</v>
      </c>
      <c r="X260" s="52">
        <f>X259*VLOOKUP($A259,Hypothèses!$A$9:$H$28,6,FALSE)</f>
        <v>0</v>
      </c>
    </row>
    <row r="261" spans="1:24" hidden="1" outlineLevel="3" x14ac:dyDescent="0.25">
      <c r="A261" s="557"/>
      <c r="B261" s="46" t="s">
        <v>138</v>
      </c>
      <c r="C261" s="46"/>
      <c r="D261" s="48"/>
      <c r="E261" s="52">
        <f>E260*VLOOKUP($A259,Hypothèses!$A$9:$H$28,8,FALSE)*(1+$E$19)^(E$21-1)/1000</f>
        <v>0</v>
      </c>
      <c r="F261" s="52">
        <f>F260*VLOOKUP($A259,Hypothèses!$A$9:$H$28,8,FALSE)*(1+$E$19)^(F$21-1)/1000</f>
        <v>0</v>
      </c>
      <c r="G261" s="52">
        <f>G260*VLOOKUP($A259,Hypothèses!$A$9:$H$28,8,FALSE)*(1+$E$19)^(G$21-1)/1000</f>
        <v>0</v>
      </c>
      <c r="H261" s="52">
        <f>H260*VLOOKUP($A259,Hypothèses!$A$9:$H$28,8,FALSE)*(1+$E$19)^(H$21-1)/1000</f>
        <v>0</v>
      </c>
      <c r="I261" s="52">
        <f>I260*VLOOKUP($A259,Hypothèses!$A$9:$H$28,8,FALSE)*(1+$E$19)^(I$21-1)/1000</f>
        <v>0</v>
      </c>
      <c r="J261" s="52">
        <f>J260*VLOOKUP($A259,Hypothèses!$A$9:$H$28,8,FALSE)*(1+$E$19)^(J$21-1)/1000</f>
        <v>0</v>
      </c>
      <c r="K261" s="52">
        <f>K260*VLOOKUP($A259,Hypothèses!$A$9:$H$28,8,FALSE)*(1+$E$19)^(K$21-1)/1000</f>
        <v>0</v>
      </c>
      <c r="L261" s="52">
        <f>L260*VLOOKUP($A259,Hypothèses!$A$9:$H$28,8,FALSE)*(1+$E$19)^(L$21-1)/1000</f>
        <v>0</v>
      </c>
      <c r="M261" s="52">
        <f>M260*VLOOKUP($A259,Hypothèses!$A$9:$H$28,8,FALSE)*(1+$E$19)^(M$21-1)/1000</f>
        <v>0</v>
      </c>
      <c r="N261" s="52">
        <f>N260*VLOOKUP($A259,Hypothèses!$A$9:$H$28,8,FALSE)*(1+$E$19)^(N$21-1)/1000</f>
        <v>0</v>
      </c>
      <c r="O261" s="52">
        <f>O260*VLOOKUP($A259,Hypothèses!$A$9:$H$28,8,FALSE)*(1+$E$19)^(O$21-1)/1000</f>
        <v>0</v>
      </c>
      <c r="P261" s="52">
        <f>P260*VLOOKUP($A259,Hypothèses!$A$9:$H$28,8,FALSE)*(1+$E$19)^(P$21-1)/1000</f>
        <v>0</v>
      </c>
      <c r="Q261" s="52">
        <f>Q260*VLOOKUP($A259,Hypothèses!$A$9:$H$28,8,FALSE)*(1+$E$19)^(Q$21-1)/1000</f>
        <v>0</v>
      </c>
      <c r="R261" s="52">
        <f>R260*VLOOKUP($A259,Hypothèses!$A$9:$H$28,8,FALSE)*(1+$E$19)^(R$21-1)/1000</f>
        <v>0</v>
      </c>
      <c r="S261" s="52">
        <f>S260*VLOOKUP($A259,Hypothèses!$A$9:$H$28,8,FALSE)*(1+$E$19)^(S$21-1)/1000</f>
        <v>0</v>
      </c>
      <c r="T261" s="52">
        <f>T260*VLOOKUP($A259,Hypothèses!$A$9:$H$28,8,FALSE)*(1+$E$19)^(T$21-1)/1000</f>
        <v>0</v>
      </c>
      <c r="U261" s="52">
        <f>U260*VLOOKUP($A259,Hypothèses!$A$9:$H$28,8,FALSE)*(1+$E$19)^(U$21-1)/1000</f>
        <v>0</v>
      </c>
      <c r="V261" s="52">
        <f>V260*VLOOKUP($A259,Hypothèses!$A$9:$H$28,8,FALSE)*(1+$E$19)^(V$21-1)/1000</f>
        <v>0</v>
      </c>
      <c r="W261" s="52">
        <f>W260*VLOOKUP($A259,Hypothèses!$A$9:$H$28,8,FALSE)*(1+$E$19)^(W$21-1)/1000</f>
        <v>0</v>
      </c>
      <c r="X261" s="52">
        <f>X260*VLOOKUP($A259,Hypothèses!$A$9:$H$28,8,FALSE)*(1+$E$19)^(X$21-1)/1000</f>
        <v>0</v>
      </c>
    </row>
    <row r="262" spans="1:24" hidden="1" outlineLevel="3" x14ac:dyDescent="0.25">
      <c r="A262" s="555" t="str">
        <f>Hypothèses!A$23</f>
        <v>Véhicule n°15</v>
      </c>
      <c r="B262" s="130" t="s">
        <v>65</v>
      </c>
      <c r="C262" s="124"/>
      <c r="D262" s="50"/>
      <c r="E262" s="213"/>
      <c r="F262" s="213"/>
      <c r="G262" s="213"/>
      <c r="H262" s="213"/>
      <c r="I262" s="213"/>
      <c r="J262" s="213"/>
      <c r="K262" s="213"/>
      <c r="L262" s="213"/>
      <c r="M262" s="213"/>
      <c r="N262" s="213"/>
      <c r="O262" s="213"/>
      <c r="P262" s="213"/>
      <c r="Q262" s="213"/>
      <c r="R262" s="213"/>
      <c r="S262" s="213"/>
      <c r="T262" s="213"/>
      <c r="U262" s="213"/>
      <c r="V262" s="213"/>
      <c r="W262" s="213"/>
      <c r="X262" s="213"/>
    </row>
    <row r="263" spans="1:24" hidden="1" outlineLevel="3" x14ac:dyDescent="0.25">
      <c r="A263" s="556"/>
      <c r="B263" s="46" t="s">
        <v>140</v>
      </c>
      <c r="C263" s="46"/>
      <c r="D263" s="88"/>
      <c r="E263" s="52">
        <f>E262*VLOOKUP($A262,Hypothèses!$A$9:$H$28,6,FALSE)</f>
        <v>0</v>
      </c>
      <c r="F263" s="52">
        <f>F262*VLOOKUP($A262,Hypothèses!$A$9:$H$28,6,FALSE)</f>
        <v>0</v>
      </c>
      <c r="G263" s="52">
        <f>G262*VLOOKUP($A262,Hypothèses!$A$9:$H$28,6,FALSE)</f>
        <v>0</v>
      </c>
      <c r="H263" s="52">
        <f>H262*VLOOKUP($A262,Hypothèses!$A$9:$H$28,6,FALSE)</f>
        <v>0</v>
      </c>
      <c r="I263" s="52">
        <f>I262*VLOOKUP($A262,Hypothèses!$A$9:$H$28,6,FALSE)</f>
        <v>0</v>
      </c>
      <c r="J263" s="52">
        <f>J262*VLOOKUP($A262,Hypothèses!$A$9:$H$28,6,FALSE)</f>
        <v>0</v>
      </c>
      <c r="K263" s="52">
        <f>K262*VLOOKUP($A262,Hypothèses!$A$9:$H$28,6,FALSE)</f>
        <v>0</v>
      </c>
      <c r="L263" s="52">
        <f>L262*VLOOKUP($A262,Hypothèses!$A$9:$H$28,6,FALSE)</f>
        <v>0</v>
      </c>
      <c r="M263" s="52">
        <f>M262*VLOOKUP($A262,Hypothèses!$A$9:$H$28,6,FALSE)</f>
        <v>0</v>
      </c>
      <c r="N263" s="52">
        <f>N262*VLOOKUP($A262,Hypothèses!$A$9:$H$28,6,FALSE)</f>
        <v>0</v>
      </c>
      <c r="O263" s="52">
        <f>O262*VLOOKUP($A262,Hypothèses!$A$9:$H$28,6,FALSE)</f>
        <v>0</v>
      </c>
      <c r="P263" s="52">
        <f>P262*VLOOKUP($A262,Hypothèses!$A$9:$H$28,6,FALSE)</f>
        <v>0</v>
      </c>
      <c r="Q263" s="52">
        <f>Q262*VLOOKUP($A262,Hypothèses!$A$9:$H$28,6,FALSE)</f>
        <v>0</v>
      </c>
      <c r="R263" s="52">
        <f>R262*VLOOKUP($A262,Hypothèses!$A$9:$H$28,6,FALSE)</f>
        <v>0</v>
      </c>
      <c r="S263" s="52">
        <f>S262*VLOOKUP($A262,Hypothèses!$A$9:$H$28,6,FALSE)</f>
        <v>0</v>
      </c>
      <c r="T263" s="52">
        <f>T262*VLOOKUP($A262,Hypothèses!$A$9:$H$28,6,FALSE)</f>
        <v>0</v>
      </c>
      <c r="U263" s="52">
        <f>U262*VLOOKUP($A262,Hypothèses!$A$9:$H$28,6,FALSE)</f>
        <v>0</v>
      </c>
      <c r="V263" s="52">
        <f>V262*VLOOKUP($A262,Hypothèses!$A$9:$H$28,6,FALSE)</f>
        <v>0</v>
      </c>
      <c r="W263" s="52">
        <f>W262*VLOOKUP($A262,Hypothèses!$A$9:$H$28,6,FALSE)</f>
        <v>0</v>
      </c>
      <c r="X263" s="52">
        <f>X262*VLOOKUP($A262,Hypothèses!$A$9:$H$28,6,FALSE)</f>
        <v>0</v>
      </c>
    </row>
    <row r="264" spans="1:24" hidden="1" outlineLevel="3" x14ac:dyDescent="0.25">
      <c r="A264" s="557"/>
      <c r="B264" s="46" t="s">
        <v>138</v>
      </c>
      <c r="C264" s="46"/>
      <c r="D264" s="48"/>
      <c r="E264" s="52">
        <f>E263*VLOOKUP($A262,Hypothèses!$A$9:$H$28,8,FALSE)*(1+$E$19)^(E$21-1)/1000</f>
        <v>0</v>
      </c>
      <c r="F264" s="52">
        <f>F263*VLOOKUP($A262,Hypothèses!$A$9:$H$28,8,FALSE)*(1+$E$19)^(F$21-1)/1000</f>
        <v>0</v>
      </c>
      <c r="G264" s="52">
        <f>G263*VLOOKUP($A262,Hypothèses!$A$9:$H$28,8,FALSE)*(1+$E$19)^(G$21-1)/1000</f>
        <v>0</v>
      </c>
      <c r="H264" s="52">
        <f>H263*VLOOKUP($A262,Hypothèses!$A$9:$H$28,8,FALSE)*(1+$E$19)^(H$21-1)/1000</f>
        <v>0</v>
      </c>
      <c r="I264" s="52">
        <f>I263*VLOOKUP($A262,Hypothèses!$A$9:$H$28,8,FALSE)*(1+$E$19)^(I$21-1)/1000</f>
        <v>0</v>
      </c>
      <c r="J264" s="52">
        <f>J263*VLOOKUP($A262,Hypothèses!$A$9:$H$28,8,FALSE)*(1+$E$19)^(J$21-1)/1000</f>
        <v>0</v>
      </c>
      <c r="K264" s="52">
        <f>K263*VLOOKUP($A262,Hypothèses!$A$9:$H$28,8,FALSE)*(1+$E$19)^(K$21-1)/1000</f>
        <v>0</v>
      </c>
      <c r="L264" s="52">
        <f>L263*VLOOKUP($A262,Hypothèses!$A$9:$H$28,8,FALSE)*(1+$E$19)^(L$21-1)/1000</f>
        <v>0</v>
      </c>
      <c r="M264" s="52">
        <f>M263*VLOOKUP($A262,Hypothèses!$A$9:$H$28,8,FALSE)*(1+$E$19)^(M$21-1)/1000</f>
        <v>0</v>
      </c>
      <c r="N264" s="52">
        <f>N263*VLOOKUP($A262,Hypothèses!$A$9:$H$28,8,FALSE)*(1+$E$19)^(N$21-1)/1000</f>
        <v>0</v>
      </c>
      <c r="O264" s="52">
        <f>O263*VLOOKUP($A262,Hypothèses!$A$9:$H$28,8,FALSE)*(1+$E$19)^(O$21-1)/1000</f>
        <v>0</v>
      </c>
      <c r="P264" s="52">
        <f>P263*VLOOKUP($A262,Hypothèses!$A$9:$H$28,8,FALSE)*(1+$E$19)^(P$21-1)/1000</f>
        <v>0</v>
      </c>
      <c r="Q264" s="52">
        <f>Q263*VLOOKUP($A262,Hypothèses!$A$9:$H$28,8,FALSE)*(1+$E$19)^(Q$21-1)/1000</f>
        <v>0</v>
      </c>
      <c r="R264" s="52">
        <f>R263*VLOOKUP($A262,Hypothèses!$A$9:$H$28,8,FALSE)*(1+$E$19)^(R$21-1)/1000</f>
        <v>0</v>
      </c>
      <c r="S264" s="52">
        <f>S263*VLOOKUP($A262,Hypothèses!$A$9:$H$28,8,FALSE)*(1+$E$19)^(S$21-1)/1000</f>
        <v>0</v>
      </c>
      <c r="T264" s="52">
        <f>T263*VLOOKUP($A262,Hypothèses!$A$9:$H$28,8,FALSE)*(1+$E$19)^(T$21-1)/1000</f>
        <v>0</v>
      </c>
      <c r="U264" s="52">
        <f>U263*VLOOKUP($A262,Hypothèses!$A$9:$H$28,8,FALSE)*(1+$E$19)^(U$21-1)/1000</f>
        <v>0</v>
      </c>
      <c r="V264" s="52">
        <f>V263*VLOOKUP($A262,Hypothèses!$A$9:$H$28,8,FALSE)*(1+$E$19)^(V$21-1)/1000</f>
        <v>0</v>
      </c>
      <c r="W264" s="52">
        <f>W263*VLOOKUP($A262,Hypothèses!$A$9:$H$28,8,FALSE)*(1+$E$19)^(W$21-1)/1000</f>
        <v>0</v>
      </c>
      <c r="X264" s="52">
        <f>X263*VLOOKUP($A262,Hypothèses!$A$9:$H$28,8,FALSE)*(1+$E$19)^(X$21-1)/1000</f>
        <v>0</v>
      </c>
    </row>
    <row r="265" spans="1:24" hidden="1" outlineLevel="3" x14ac:dyDescent="0.25">
      <c r="A265" s="555" t="str">
        <f>Hypothèses!A$24</f>
        <v>Véhicule n°16</v>
      </c>
      <c r="B265" s="130" t="s">
        <v>65</v>
      </c>
      <c r="C265" s="124"/>
      <c r="D265" s="50"/>
      <c r="E265" s="213"/>
      <c r="F265" s="213"/>
      <c r="G265" s="213"/>
      <c r="H265" s="213"/>
      <c r="I265" s="213"/>
      <c r="J265" s="213"/>
      <c r="K265" s="213"/>
      <c r="L265" s="213"/>
      <c r="M265" s="213"/>
      <c r="N265" s="213"/>
      <c r="O265" s="213"/>
      <c r="P265" s="213"/>
      <c r="Q265" s="213"/>
      <c r="R265" s="213"/>
      <c r="S265" s="213"/>
      <c r="T265" s="213"/>
      <c r="U265" s="213"/>
      <c r="V265" s="213"/>
      <c r="W265" s="213"/>
      <c r="X265" s="213"/>
    </row>
    <row r="266" spans="1:24" hidden="1" outlineLevel="3" x14ac:dyDescent="0.25">
      <c r="A266" s="556"/>
      <c r="B266" s="46" t="s">
        <v>140</v>
      </c>
      <c r="C266" s="46"/>
      <c r="D266" s="88"/>
      <c r="E266" s="52">
        <f>E265*VLOOKUP($A265,Hypothèses!$A$9:$H$28,6,FALSE)</f>
        <v>0</v>
      </c>
      <c r="F266" s="52">
        <f>F265*VLOOKUP($A265,Hypothèses!$A$9:$H$28,6,FALSE)</f>
        <v>0</v>
      </c>
      <c r="G266" s="52">
        <f>G265*VLOOKUP($A265,Hypothèses!$A$9:$H$28,6,FALSE)</f>
        <v>0</v>
      </c>
      <c r="H266" s="52">
        <f>H265*VLOOKUP($A265,Hypothèses!$A$9:$H$28,6,FALSE)</f>
        <v>0</v>
      </c>
      <c r="I266" s="52">
        <f>I265*VLOOKUP($A265,Hypothèses!$A$9:$H$28,6,FALSE)</f>
        <v>0</v>
      </c>
      <c r="J266" s="52">
        <f>J265*VLOOKUP($A265,Hypothèses!$A$9:$H$28,6,FALSE)</f>
        <v>0</v>
      </c>
      <c r="K266" s="52">
        <f>K265*VLOOKUP($A265,Hypothèses!$A$9:$H$28,6,FALSE)</f>
        <v>0</v>
      </c>
      <c r="L266" s="52">
        <f>L265*VLOOKUP($A265,Hypothèses!$A$9:$H$28,6,FALSE)</f>
        <v>0</v>
      </c>
      <c r="M266" s="52">
        <f>M265*VLOOKUP($A265,Hypothèses!$A$9:$H$28,6,FALSE)</f>
        <v>0</v>
      </c>
      <c r="N266" s="52">
        <f>N265*VLOOKUP($A265,Hypothèses!$A$9:$H$28,6,FALSE)</f>
        <v>0</v>
      </c>
      <c r="O266" s="52">
        <f>O265*VLOOKUP($A265,Hypothèses!$A$9:$H$28,6,FALSE)</f>
        <v>0</v>
      </c>
      <c r="P266" s="52">
        <f>P265*VLOOKUP($A265,Hypothèses!$A$9:$H$28,6,FALSE)</f>
        <v>0</v>
      </c>
      <c r="Q266" s="52">
        <f>Q265*VLOOKUP($A265,Hypothèses!$A$9:$H$28,6,FALSE)</f>
        <v>0</v>
      </c>
      <c r="R266" s="52">
        <f>R265*VLOOKUP($A265,Hypothèses!$A$9:$H$28,6,FALSE)</f>
        <v>0</v>
      </c>
      <c r="S266" s="52">
        <f>S265*VLOOKUP($A265,Hypothèses!$A$9:$H$28,6,FALSE)</f>
        <v>0</v>
      </c>
      <c r="T266" s="52">
        <f>T265*VLOOKUP($A265,Hypothèses!$A$9:$H$28,6,FALSE)</f>
        <v>0</v>
      </c>
      <c r="U266" s="52">
        <f>U265*VLOOKUP($A265,Hypothèses!$A$9:$H$28,6,FALSE)</f>
        <v>0</v>
      </c>
      <c r="V266" s="52">
        <f>V265*VLOOKUP($A265,Hypothèses!$A$9:$H$28,6,FALSE)</f>
        <v>0</v>
      </c>
      <c r="W266" s="52">
        <f>W265*VLOOKUP($A265,Hypothèses!$A$9:$H$28,6,FALSE)</f>
        <v>0</v>
      </c>
      <c r="X266" s="52">
        <f>X265*VLOOKUP($A265,Hypothèses!$A$9:$H$28,6,FALSE)</f>
        <v>0</v>
      </c>
    </row>
    <row r="267" spans="1:24" hidden="1" outlineLevel="3" x14ac:dyDescent="0.25">
      <c r="A267" s="557"/>
      <c r="B267" s="46" t="s">
        <v>138</v>
      </c>
      <c r="C267" s="46"/>
      <c r="D267" s="48"/>
      <c r="E267" s="52">
        <f>E266*VLOOKUP($A265,Hypothèses!$A$9:$H$28,8,FALSE)*(1+$E$19)^(E$21-1)/1000</f>
        <v>0</v>
      </c>
      <c r="F267" s="52">
        <f>F266*VLOOKUP($A265,Hypothèses!$A$9:$H$28,8,FALSE)*(1+$E$19)^(F$21-1)/1000</f>
        <v>0</v>
      </c>
      <c r="G267" s="52">
        <f>G266*VLOOKUP($A265,Hypothèses!$A$9:$H$28,8,FALSE)*(1+$E$19)^(G$21-1)/1000</f>
        <v>0</v>
      </c>
      <c r="H267" s="52">
        <f>H266*VLOOKUP($A265,Hypothèses!$A$9:$H$28,8,FALSE)*(1+$E$19)^(H$21-1)/1000</f>
        <v>0</v>
      </c>
      <c r="I267" s="52">
        <f>I266*VLOOKUP($A265,Hypothèses!$A$9:$H$28,8,FALSE)*(1+$E$19)^(I$21-1)/1000</f>
        <v>0</v>
      </c>
      <c r="J267" s="52">
        <f>J266*VLOOKUP($A265,Hypothèses!$A$9:$H$28,8,FALSE)*(1+$E$19)^(J$21-1)/1000</f>
        <v>0</v>
      </c>
      <c r="K267" s="52">
        <f>K266*VLOOKUP($A265,Hypothèses!$A$9:$H$28,8,FALSE)*(1+$E$19)^(K$21-1)/1000</f>
        <v>0</v>
      </c>
      <c r="L267" s="52">
        <f>L266*VLOOKUP($A265,Hypothèses!$A$9:$H$28,8,FALSE)*(1+$E$19)^(L$21-1)/1000</f>
        <v>0</v>
      </c>
      <c r="M267" s="52">
        <f>M266*VLOOKUP($A265,Hypothèses!$A$9:$H$28,8,FALSE)*(1+$E$19)^(M$21-1)/1000</f>
        <v>0</v>
      </c>
      <c r="N267" s="52">
        <f>N266*VLOOKUP($A265,Hypothèses!$A$9:$H$28,8,FALSE)*(1+$E$19)^(N$21-1)/1000</f>
        <v>0</v>
      </c>
      <c r="O267" s="52">
        <f>O266*VLOOKUP($A265,Hypothèses!$A$9:$H$28,8,FALSE)*(1+$E$19)^(O$21-1)/1000</f>
        <v>0</v>
      </c>
      <c r="P267" s="52">
        <f>P266*VLOOKUP($A265,Hypothèses!$A$9:$H$28,8,FALSE)*(1+$E$19)^(P$21-1)/1000</f>
        <v>0</v>
      </c>
      <c r="Q267" s="52">
        <f>Q266*VLOOKUP($A265,Hypothèses!$A$9:$H$28,8,FALSE)*(1+$E$19)^(Q$21-1)/1000</f>
        <v>0</v>
      </c>
      <c r="R267" s="52">
        <f>R266*VLOOKUP($A265,Hypothèses!$A$9:$H$28,8,FALSE)*(1+$E$19)^(R$21-1)/1000</f>
        <v>0</v>
      </c>
      <c r="S267" s="52">
        <f>S266*VLOOKUP($A265,Hypothèses!$A$9:$H$28,8,FALSE)*(1+$E$19)^(S$21-1)/1000</f>
        <v>0</v>
      </c>
      <c r="T267" s="52">
        <f>T266*VLOOKUP($A265,Hypothèses!$A$9:$H$28,8,FALSE)*(1+$E$19)^(T$21-1)/1000</f>
        <v>0</v>
      </c>
      <c r="U267" s="52">
        <f>U266*VLOOKUP($A265,Hypothèses!$A$9:$H$28,8,FALSE)*(1+$E$19)^(U$21-1)/1000</f>
        <v>0</v>
      </c>
      <c r="V267" s="52">
        <f>V266*VLOOKUP($A265,Hypothèses!$A$9:$H$28,8,FALSE)*(1+$E$19)^(V$21-1)/1000</f>
        <v>0</v>
      </c>
      <c r="W267" s="52">
        <f>W266*VLOOKUP($A265,Hypothèses!$A$9:$H$28,8,FALSE)*(1+$E$19)^(W$21-1)/1000</f>
        <v>0</v>
      </c>
      <c r="X267" s="52">
        <f>X266*VLOOKUP($A265,Hypothèses!$A$9:$H$28,8,FALSE)*(1+$E$19)^(X$21-1)/1000</f>
        <v>0</v>
      </c>
    </row>
    <row r="268" spans="1:24" hidden="1" outlineLevel="3" x14ac:dyDescent="0.25">
      <c r="A268" s="555" t="str">
        <f>Hypothèses!A$25</f>
        <v>Véhicule n°17</v>
      </c>
      <c r="B268" s="130" t="s">
        <v>65</v>
      </c>
      <c r="C268" s="124"/>
      <c r="D268" s="50"/>
      <c r="E268" s="213"/>
      <c r="F268" s="213"/>
      <c r="G268" s="213"/>
      <c r="H268" s="213"/>
      <c r="I268" s="213"/>
      <c r="J268" s="213"/>
      <c r="K268" s="213"/>
      <c r="L268" s="213"/>
      <c r="M268" s="213"/>
      <c r="N268" s="213"/>
      <c r="O268" s="213"/>
      <c r="P268" s="213"/>
      <c r="Q268" s="213"/>
      <c r="R268" s="213"/>
      <c r="S268" s="213"/>
      <c r="T268" s="213"/>
      <c r="U268" s="213"/>
      <c r="V268" s="213"/>
      <c r="W268" s="213"/>
      <c r="X268" s="213"/>
    </row>
    <row r="269" spans="1:24" hidden="1" outlineLevel="3" x14ac:dyDescent="0.25">
      <c r="A269" s="556"/>
      <c r="B269" s="46" t="s">
        <v>140</v>
      </c>
      <c r="C269" s="46"/>
      <c r="D269" s="88"/>
      <c r="E269" s="52">
        <f>E268*VLOOKUP($A268,Hypothèses!$A$9:$H$28,6,FALSE)</f>
        <v>0</v>
      </c>
      <c r="F269" s="52">
        <f>F268*VLOOKUP($A268,Hypothèses!$A$9:$H$28,6,FALSE)</f>
        <v>0</v>
      </c>
      <c r="G269" s="52">
        <f>G268*VLOOKUP($A268,Hypothèses!$A$9:$H$28,6,FALSE)</f>
        <v>0</v>
      </c>
      <c r="H269" s="52">
        <f>H268*VLOOKUP($A268,Hypothèses!$A$9:$H$28,6,FALSE)</f>
        <v>0</v>
      </c>
      <c r="I269" s="52">
        <f>I268*VLOOKUP($A268,Hypothèses!$A$9:$H$28,6,FALSE)</f>
        <v>0</v>
      </c>
      <c r="J269" s="52">
        <f>J268*VLOOKUP($A268,Hypothèses!$A$9:$H$28,6,FALSE)</f>
        <v>0</v>
      </c>
      <c r="K269" s="52">
        <f>K268*VLOOKUP($A268,Hypothèses!$A$9:$H$28,6,FALSE)</f>
        <v>0</v>
      </c>
      <c r="L269" s="52">
        <f>L268*VLOOKUP($A268,Hypothèses!$A$9:$H$28,6,FALSE)</f>
        <v>0</v>
      </c>
      <c r="M269" s="52">
        <f>M268*VLOOKUP($A268,Hypothèses!$A$9:$H$28,6,FALSE)</f>
        <v>0</v>
      </c>
      <c r="N269" s="52">
        <f>N268*VLOOKUP($A268,Hypothèses!$A$9:$H$28,6,FALSE)</f>
        <v>0</v>
      </c>
      <c r="O269" s="52">
        <f>O268*VLOOKUP($A268,Hypothèses!$A$9:$H$28,6,FALSE)</f>
        <v>0</v>
      </c>
      <c r="P269" s="52">
        <f>P268*VLOOKUP($A268,Hypothèses!$A$9:$H$28,6,FALSE)</f>
        <v>0</v>
      </c>
      <c r="Q269" s="52">
        <f>Q268*VLOOKUP($A268,Hypothèses!$A$9:$H$28,6,FALSE)</f>
        <v>0</v>
      </c>
      <c r="R269" s="52">
        <f>R268*VLOOKUP($A268,Hypothèses!$A$9:$H$28,6,FALSE)</f>
        <v>0</v>
      </c>
      <c r="S269" s="52">
        <f>S268*VLOOKUP($A268,Hypothèses!$A$9:$H$28,6,FALSE)</f>
        <v>0</v>
      </c>
      <c r="T269" s="52">
        <f>T268*VLOOKUP($A268,Hypothèses!$A$9:$H$28,6,FALSE)</f>
        <v>0</v>
      </c>
      <c r="U269" s="52">
        <f>U268*VLOOKUP($A268,Hypothèses!$A$9:$H$28,6,FALSE)</f>
        <v>0</v>
      </c>
      <c r="V269" s="52">
        <f>V268*VLOOKUP($A268,Hypothèses!$A$9:$H$28,6,FALSE)</f>
        <v>0</v>
      </c>
      <c r="W269" s="52">
        <f>W268*VLOOKUP($A268,Hypothèses!$A$9:$H$28,6,FALSE)</f>
        <v>0</v>
      </c>
      <c r="X269" s="52">
        <f>X268*VLOOKUP($A268,Hypothèses!$A$9:$H$28,6,FALSE)</f>
        <v>0</v>
      </c>
    </row>
    <row r="270" spans="1:24" hidden="1" outlineLevel="3" x14ac:dyDescent="0.25">
      <c r="A270" s="557"/>
      <c r="B270" s="46" t="s">
        <v>138</v>
      </c>
      <c r="C270" s="46"/>
      <c r="D270" s="48"/>
      <c r="E270" s="52">
        <f>E269*VLOOKUP($A268,Hypothèses!$A$9:$H$28,8,FALSE)*(1+$E$19)^(E$21-1)/1000</f>
        <v>0</v>
      </c>
      <c r="F270" s="52">
        <f>F269*VLOOKUP($A268,Hypothèses!$A$9:$H$28,8,FALSE)*(1+$E$19)^(F$21-1)/1000</f>
        <v>0</v>
      </c>
      <c r="G270" s="52">
        <f>G269*VLOOKUP($A268,Hypothèses!$A$9:$H$28,8,FALSE)*(1+$E$19)^(G$21-1)/1000</f>
        <v>0</v>
      </c>
      <c r="H270" s="52">
        <f>H269*VLOOKUP($A268,Hypothèses!$A$9:$H$28,8,FALSE)*(1+$E$19)^(H$21-1)/1000</f>
        <v>0</v>
      </c>
      <c r="I270" s="52">
        <f>I269*VLOOKUP($A268,Hypothèses!$A$9:$H$28,8,FALSE)*(1+$E$19)^(I$21-1)/1000</f>
        <v>0</v>
      </c>
      <c r="J270" s="52">
        <f>J269*VLOOKUP($A268,Hypothèses!$A$9:$H$28,8,FALSE)*(1+$E$19)^(J$21-1)/1000</f>
        <v>0</v>
      </c>
      <c r="K270" s="52">
        <f>K269*VLOOKUP($A268,Hypothèses!$A$9:$H$28,8,FALSE)*(1+$E$19)^(K$21-1)/1000</f>
        <v>0</v>
      </c>
      <c r="L270" s="52">
        <f>L269*VLOOKUP($A268,Hypothèses!$A$9:$H$28,8,FALSE)*(1+$E$19)^(L$21-1)/1000</f>
        <v>0</v>
      </c>
      <c r="M270" s="52">
        <f>M269*VLOOKUP($A268,Hypothèses!$A$9:$H$28,8,FALSE)*(1+$E$19)^(M$21-1)/1000</f>
        <v>0</v>
      </c>
      <c r="N270" s="52">
        <f>N269*VLOOKUP($A268,Hypothèses!$A$9:$H$28,8,FALSE)*(1+$E$19)^(N$21-1)/1000</f>
        <v>0</v>
      </c>
      <c r="O270" s="52">
        <f>O269*VLOOKUP($A268,Hypothèses!$A$9:$H$28,8,FALSE)*(1+$E$19)^(O$21-1)/1000</f>
        <v>0</v>
      </c>
      <c r="P270" s="52">
        <f>P269*VLOOKUP($A268,Hypothèses!$A$9:$H$28,8,FALSE)*(1+$E$19)^(P$21-1)/1000</f>
        <v>0</v>
      </c>
      <c r="Q270" s="52">
        <f>Q269*VLOOKUP($A268,Hypothèses!$A$9:$H$28,8,FALSE)*(1+$E$19)^(Q$21-1)/1000</f>
        <v>0</v>
      </c>
      <c r="R270" s="52">
        <f>R269*VLOOKUP($A268,Hypothèses!$A$9:$H$28,8,FALSE)*(1+$E$19)^(R$21-1)/1000</f>
        <v>0</v>
      </c>
      <c r="S270" s="52">
        <f>S269*VLOOKUP($A268,Hypothèses!$A$9:$H$28,8,FALSE)*(1+$E$19)^(S$21-1)/1000</f>
        <v>0</v>
      </c>
      <c r="T270" s="52">
        <f>T269*VLOOKUP($A268,Hypothèses!$A$9:$H$28,8,FALSE)*(1+$E$19)^(T$21-1)/1000</f>
        <v>0</v>
      </c>
      <c r="U270" s="52">
        <f>U269*VLOOKUP($A268,Hypothèses!$A$9:$H$28,8,FALSE)*(1+$E$19)^(U$21-1)/1000</f>
        <v>0</v>
      </c>
      <c r="V270" s="52">
        <f>V269*VLOOKUP($A268,Hypothèses!$A$9:$H$28,8,FALSE)*(1+$E$19)^(V$21-1)/1000</f>
        <v>0</v>
      </c>
      <c r="W270" s="52">
        <f>W269*VLOOKUP($A268,Hypothèses!$A$9:$H$28,8,FALSE)*(1+$E$19)^(W$21-1)/1000</f>
        <v>0</v>
      </c>
      <c r="X270" s="52">
        <f>X269*VLOOKUP($A268,Hypothèses!$A$9:$H$28,8,FALSE)*(1+$E$19)^(X$21-1)/1000</f>
        <v>0</v>
      </c>
    </row>
    <row r="271" spans="1:24" hidden="1" outlineLevel="3" x14ac:dyDescent="0.25">
      <c r="A271" s="555" t="str">
        <f>Hypothèses!A$26</f>
        <v>Véhicule n°18</v>
      </c>
      <c r="B271" s="130" t="s">
        <v>65</v>
      </c>
      <c r="C271" s="124"/>
      <c r="D271" s="50"/>
      <c r="E271" s="213"/>
      <c r="F271" s="213"/>
      <c r="G271" s="213"/>
      <c r="H271" s="213"/>
      <c r="I271" s="213"/>
      <c r="J271" s="213"/>
      <c r="K271" s="213"/>
      <c r="L271" s="213"/>
      <c r="M271" s="213"/>
      <c r="N271" s="213"/>
      <c r="O271" s="213"/>
      <c r="P271" s="213"/>
      <c r="Q271" s="213"/>
      <c r="R271" s="213"/>
      <c r="S271" s="213"/>
      <c r="T271" s="213"/>
      <c r="U271" s="213"/>
      <c r="V271" s="213"/>
      <c r="W271" s="213"/>
      <c r="X271" s="213"/>
    </row>
    <row r="272" spans="1:24" hidden="1" outlineLevel="3" x14ac:dyDescent="0.25">
      <c r="A272" s="556"/>
      <c r="B272" s="46" t="s">
        <v>140</v>
      </c>
      <c r="C272" s="46"/>
      <c r="D272" s="88"/>
      <c r="E272" s="52">
        <f>E271*VLOOKUP($A271,Hypothèses!$A$9:$H$28,6,FALSE)</f>
        <v>0</v>
      </c>
      <c r="F272" s="52">
        <f>F271*VLOOKUP($A271,Hypothèses!$A$9:$H$28,6,FALSE)</f>
        <v>0</v>
      </c>
      <c r="G272" s="52">
        <f>G271*VLOOKUP($A271,Hypothèses!$A$9:$H$28,6,FALSE)</f>
        <v>0</v>
      </c>
      <c r="H272" s="52">
        <f>H271*VLOOKUP($A271,Hypothèses!$A$9:$H$28,6,FALSE)</f>
        <v>0</v>
      </c>
      <c r="I272" s="52">
        <f>I271*VLOOKUP($A271,Hypothèses!$A$9:$H$28,6,FALSE)</f>
        <v>0</v>
      </c>
      <c r="J272" s="52">
        <f>J271*VLOOKUP($A271,Hypothèses!$A$9:$H$28,6,FALSE)</f>
        <v>0</v>
      </c>
      <c r="K272" s="52">
        <f>K271*VLOOKUP($A271,Hypothèses!$A$9:$H$28,6,FALSE)</f>
        <v>0</v>
      </c>
      <c r="L272" s="52">
        <f>L271*VLOOKUP($A271,Hypothèses!$A$9:$H$28,6,FALSE)</f>
        <v>0</v>
      </c>
      <c r="M272" s="52">
        <f>M271*VLOOKUP($A271,Hypothèses!$A$9:$H$28,6,FALSE)</f>
        <v>0</v>
      </c>
      <c r="N272" s="52">
        <f>N271*VLOOKUP($A271,Hypothèses!$A$9:$H$28,6,FALSE)</f>
        <v>0</v>
      </c>
      <c r="O272" s="52">
        <f>O271*VLOOKUP($A271,Hypothèses!$A$9:$H$28,6,FALSE)</f>
        <v>0</v>
      </c>
      <c r="P272" s="52">
        <f>P271*VLOOKUP($A271,Hypothèses!$A$9:$H$28,6,FALSE)</f>
        <v>0</v>
      </c>
      <c r="Q272" s="52">
        <f>Q271*VLOOKUP($A271,Hypothèses!$A$9:$H$28,6,FALSE)</f>
        <v>0</v>
      </c>
      <c r="R272" s="52">
        <f>R271*VLOOKUP($A271,Hypothèses!$A$9:$H$28,6,FALSE)</f>
        <v>0</v>
      </c>
      <c r="S272" s="52">
        <f>S271*VLOOKUP($A271,Hypothèses!$A$9:$H$28,6,FALSE)</f>
        <v>0</v>
      </c>
      <c r="T272" s="52">
        <f>T271*VLOOKUP($A271,Hypothèses!$A$9:$H$28,6,FALSE)</f>
        <v>0</v>
      </c>
      <c r="U272" s="52">
        <f>U271*VLOOKUP($A271,Hypothèses!$A$9:$H$28,6,FALSE)</f>
        <v>0</v>
      </c>
      <c r="V272" s="52">
        <f>V271*VLOOKUP($A271,Hypothèses!$A$9:$H$28,6,FALSE)</f>
        <v>0</v>
      </c>
      <c r="W272" s="52">
        <f>W271*VLOOKUP($A271,Hypothèses!$A$9:$H$28,6,FALSE)</f>
        <v>0</v>
      </c>
      <c r="X272" s="52">
        <f>X271*VLOOKUP($A271,Hypothèses!$A$9:$H$28,6,FALSE)</f>
        <v>0</v>
      </c>
    </row>
    <row r="273" spans="1:25" hidden="1" outlineLevel="3" x14ac:dyDescent="0.25">
      <c r="A273" s="557"/>
      <c r="B273" s="46" t="s">
        <v>138</v>
      </c>
      <c r="C273" s="46"/>
      <c r="D273" s="48"/>
      <c r="E273" s="52">
        <f>E272*VLOOKUP($A271,Hypothèses!$A$9:$H$28,8,FALSE)*(1+$E$19)^(E$21-1)/1000</f>
        <v>0</v>
      </c>
      <c r="F273" s="52">
        <f>F272*VLOOKUP($A271,Hypothèses!$A$9:$H$28,8,FALSE)*(1+$E$19)^(F$21-1)/1000</f>
        <v>0</v>
      </c>
      <c r="G273" s="52">
        <f>G272*VLOOKUP($A271,Hypothèses!$A$9:$H$28,8,FALSE)*(1+$E$19)^(G$21-1)/1000</f>
        <v>0</v>
      </c>
      <c r="H273" s="52">
        <f>H272*VLOOKUP($A271,Hypothèses!$A$9:$H$28,8,FALSE)*(1+$E$19)^(H$21-1)/1000</f>
        <v>0</v>
      </c>
      <c r="I273" s="52">
        <f>I272*VLOOKUP($A271,Hypothèses!$A$9:$H$28,8,FALSE)*(1+$E$19)^(I$21-1)/1000</f>
        <v>0</v>
      </c>
      <c r="J273" s="52">
        <f>J272*VLOOKUP($A271,Hypothèses!$A$9:$H$28,8,FALSE)*(1+$E$19)^(J$21-1)/1000</f>
        <v>0</v>
      </c>
      <c r="K273" s="52">
        <f>K272*VLOOKUP($A271,Hypothèses!$A$9:$H$28,8,FALSE)*(1+$E$19)^(K$21-1)/1000</f>
        <v>0</v>
      </c>
      <c r="L273" s="52">
        <f>L272*VLOOKUP($A271,Hypothèses!$A$9:$H$28,8,FALSE)*(1+$E$19)^(L$21-1)/1000</f>
        <v>0</v>
      </c>
      <c r="M273" s="52">
        <f>M272*VLOOKUP($A271,Hypothèses!$A$9:$H$28,8,FALSE)*(1+$E$19)^(M$21-1)/1000</f>
        <v>0</v>
      </c>
      <c r="N273" s="52">
        <f>N272*VLOOKUP($A271,Hypothèses!$A$9:$H$28,8,FALSE)*(1+$E$19)^(N$21-1)/1000</f>
        <v>0</v>
      </c>
      <c r="O273" s="52">
        <f>O272*VLOOKUP($A271,Hypothèses!$A$9:$H$28,8,FALSE)*(1+$E$19)^(O$21-1)/1000</f>
        <v>0</v>
      </c>
      <c r="P273" s="52">
        <f>P272*VLOOKUP($A271,Hypothèses!$A$9:$H$28,8,FALSE)*(1+$E$19)^(P$21-1)/1000</f>
        <v>0</v>
      </c>
      <c r="Q273" s="52">
        <f>Q272*VLOOKUP($A271,Hypothèses!$A$9:$H$28,8,FALSE)*(1+$E$19)^(Q$21-1)/1000</f>
        <v>0</v>
      </c>
      <c r="R273" s="52">
        <f>R272*VLOOKUP($A271,Hypothèses!$A$9:$H$28,8,FALSE)*(1+$E$19)^(R$21-1)/1000</f>
        <v>0</v>
      </c>
      <c r="S273" s="52">
        <f>S272*VLOOKUP($A271,Hypothèses!$A$9:$H$28,8,FALSE)*(1+$E$19)^(S$21-1)/1000</f>
        <v>0</v>
      </c>
      <c r="T273" s="52">
        <f>T272*VLOOKUP($A271,Hypothèses!$A$9:$H$28,8,FALSE)*(1+$E$19)^(T$21-1)/1000</f>
        <v>0</v>
      </c>
      <c r="U273" s="52">
        <f>U272*VLOOKUP($A271,Hypothèses!$A$9:$H$28,8,FALSE)*(1+$E$19)^(U$21-1)/1000</f>
        <v>0</v>
      </c>
      <c r="V273" s="52">
        <f>V272*VLOOKUP($A271,Hypothèses!$A$9:$H$28,8,FALSE)*(1+$E$19)^(V$21-1)/1000</f>
        <v>0</v>
      </c>
      <c r="W273" s="52">
        <f>W272*VLOOKUP($A271,Hypothèses!$A$9:$H$28,8,FALSE)*(1+$E$19)^(W$21-1)/1000</f>
        <v>0</v>
      </c>
      <c r="X273" s="52">
        <f>X272*VLOOKUP($A271,Hypothèses!$A$9:$H$28,8,FALSE)*(1+$E$19)^(X$21-1)/1000</f>
        <v>0</v>
      </c>
    </row>
    <row r="274" spans="1:25" hidden="1" outlineLevel="3" x14ac:dyDescent="0.25">
      <c r="A274" s="555" t="str">
        <f>Hypothèses!A$27</f>
        <v>Véhicule n°19</v>
      </c>
      <c r="B274" s="130" t="s">
        <v>65</v>
      </c>
      <c r="C274" s="124"/>
      <c r="D274" s="50"/>
      <c r="E274" s="213"/>
      <c r="F274" s="213"/>
      <c r="G274" s="213"/>
      <c r="H274" s="213"/>
      <c r="I274" s="213"/>
      <c r="J274" s="213"/>
      <c r="K274" s="213"/>
      <c r="L274" s="213"/>
      <c r="M274" s="213"/>
      <c r="N274" s="213"/>
      <c r="O274" s="213"/>
      <c r="P274" s="213"/>
      <c r="Q274" s="213"/>
      <c r="R274" s="213"/>
      <c r="S274" s="213"/>
      <c r="T274" s="213"/>
      <c r="U274" s="213"/>
      <c r="V274" s="213"/>
      <c r="W274" s="213"/>
      <c r="X274" s="213"/>
    </row>
    <row r="275" spans="1:25" hidden="1" outlineLevel="3" x14ac:dyDescent="0.25">
      <c r="A275" s="556"/>
      <c r="B275" s="46" t="s">
        <v>140</v>
      </c>
      <c r="C275" s="46"/>
      <c r="D275" s="88"/>
      <c r="E275" s="52">
        <f>E274*VLOOKUP($A274,Hypothèses!$A$9:$H$28,6,FALSE)</f>
        <v>0</v>
      </c>
      <c r="F275" s="52">
        <f>F274*VLOOKUP($A274,Hypothèses!$A$9:$H$28,6,FALSE)</f>
        <v>0</v>
      </c>
      <c r="G275" s="52">
        <f>G274*VLOOKUP($A274,Hypothèses!$A$9:$H$28,6,FALSE)</f>
        <v>0</v>
      </c>
      <c r="H275" s="52">
        <f>H274*VLOOKUP($A274,Hypothèses!$A$9:$H$28,6,FALSE)</f>
        <v>0</v>
      </c>
      <c r="I275" s="52">
        <f>I274*VLOOKUP($A274,Hypothèses!$A$9:$H$28,6,FALSE)</f>
        <v>0</v>
      </c>
      <c r="J275" s="52">
        <f>J274*VLOOKUP($A274,Hypothèses!$A$9:$H$28,6,FALSE)</f>
        <v>0</v>
      </c>
      <c r="K275" s="52">
        <f>K274*VLOOKUP($A274,Hypothèses!$A$9:$H$28,6,FALSE)</f>
        <v>0</v>
      </c>
      <c r="L275" s="52">
        <f>L274*VLOOKUP($A274,Hypothèses!$A$9:$H$28,6,FALSE)</f>
        <v>0</v>
      </c>
      <c r="M275" s="52">
        <f>M274*VLOOKUP($A274,Hypothèses!$A$9:$H$28,6,FALSE)</f>
        <v>0</v>
      </c>
      <c r="N275" s="52">
        <f>N274*VLOOKUP($A274,Hypothèses!$A$9:$H$28,6,FALSE)</f>
        <v>0</v>
      </c>
      <c r="O275" s="52">
        <f>O274*VLOOKUP($A274,Hypothèses!$A$9:$H$28,6,FALSE)</f>
        <v>0</v>
      </c>
      <c r="P275" s="52">
        <f>P274*VLOOKUP($A274,Hypothèses!$A$9:$H$28,6,FALSE)</f>
        <v>0</v>
      </c>
      <c r="Q275" s="52">
        <f>Q274*VLOOKUP($A274,Hypothèses!$A$9:$H$28,6,FALSE)</f>
        <v>0</v>
      </c>
      <c r="R275" s="52">
        <f>R274*VLOOKUP($A274,Hypothèses!$A$9:$H$28,6,FALSE)</f>
        <v>0</v>
      </c>
      <c r="S275" s="52">
        <f>S274*VLOOKUP($A274,Hypothèses!$A$9:$H$28,6,FALSE)</f>
        <v>0</v>
      </c>
      <c r="T275" s="52">
        <f>T274*VLOOKUP($A274,Hypothèses!$A$9:$H$28,6,FALSE)</f>
        <v>0</v>
      </c>
      <c r="U275" s="52">
        <f>U274*VLOOKUP($A274,Hypothèses!$A$9:$H$28,6,FALSE)</f>
        <v>0</v>
      </c>
      <c r="V275" s="52">
        <f>V274*VLOOKUP($A274,Hypothèses!$A$9:$H$28,6,FALSE)</f>
        <v>0</v>
      </c>
      <c r="W275" s="52">
        <f>W274*VLOOKUP($A274,Hypothèses!$A$9:$H$28,6,FALSE)</f>
        <v>0</v>
      </c>
      <c r="X275" s="52">
        <f>X274*VLOOKUP($A274,Hypothèses!$A$9:$H$28,6,FALSE)</f>
        <v>0</v>
      </c>
    </row>
    <row r="276" spans="1:25" hidden="1" outlineLevel="3" x14ac:dyDescent="0.25">
      <c r="A276" s="557"/>
      <c r="B276" s="46" t="s">
        <v>138</v>
      </c>
      <c r="C276" s="46"/>
      <c r="D276" s="48"/>
      <c r="E276" s="52">
        <f>E275*VLOOKUP($A274,Hypothèses!$A$9:$H$28,8,FALSE)*(1+$E$19)^(E$21-1)/1000</f>
        <v>0</v>
      </c>
      <c r="F276" s="52">
        <f>F275*VLOOKUP($A274,Hypothèses!$A$9:$H$28,8,FALSE)*(1+$E$19)^(F$21-1)/1000</f>
        <v>0</v>
      </c>
      <c r="G276" s="52">
        <f>G275*VLOOKUP($A274,Hypothèses!$A$9:$H$28,8,FALSE)*(1+$E$19)^(G$21-1)/1000</f>
        <v>0</v>
      </c>
      <c r="H276" s="52">
        <f>H275*VLOOKUP($A274,Hypothèses!$A$9:$H$28,8,FALSE)*(1+$E$19)^(H$21-1)/1000</f>
        <v>0</v>
      </c>
      <c r="I276" s="52">
        <f>I275*VLOOKUP($A274,Hypothèses!$A$9:$H$28,8,FALSE)*(1+$E$19)^(I$21-1)/1000</f>
        <v>0</v>
      </c>
      <c r="J276" s="52">
        <f>J275*VLOOKUP($A274,Hypothèses!$A$9:$H$28,8,FALSE)*(1+$E$19)^(J$21-1)/1000</f>
        <v>0</v>
      </c>
      <c r="K276" s="52">
        <f>K275*VLOOKUP($A274,Hypothèses!$A$9:$H$28,8,FALSE)*(1+$E$19)^(K$21-1)/1000</f>
        <v>0</v>
      </c>
      <c r="L276" s="52">
        <f>L275*VLOOKUP($A274,Hypothèses!$A$9:$H$28,8,FALSE)*(1+$E$19)^(L$21-1)/1000</f>
        <v>0</v>
      </c>
      <c r="M276" s="52">
        <f>M275*VLOOKUP($A274,Hypothèses!$A$9:$H$28,8,FALSE)*(1+$E$19)^(M$21-1)/1000</f>
        <v>0</v>
      </c>
      <c r="N276" s="52">
        <f>N275*VLOOKUP($A274,Hypothèses!$A$9:$H$28,8,FALSE)*(1+$E$19)^(N$21-1)/1000</f>
        <v>0</v>
      </c>
      <c r="O276" s="52">
        <f>O275*VLOOKUP($A274,Hypothèses!$A$9:$H$28,8,FALSE)*(1+$E$19)^(O$21-1)/1000</f>
        <v>0</v>
      </c>
      <c r="P276" s="52">
        <f>P275*VLOOKUP($A274,Hypothèses!$A$9:$H$28,8,FALSE)*(1+$E$19)^(P$21-1)/1000</f>
        <v>0</v>
      </c>
      <c r="Q276" s="52">
        <f>Q275*VLOOKUP($A274,Hypothèses!$A$9:$H$28,8,FALSE)*(1+$E$19)^(Q$21-1)/1000</f>
        <v>0</v>
      </c>
      <c r="R276" s="52">
        <f>R275*VLOOKUP($A274,Hypothèses!$A$9:$H$28,8,FALSE)*(1+$E$19)^(R$21-1)/1000</f>
        <v>0</v>
      </c>
      <c r="S276" s="52">
        <f>S275*VLOOKUP($A274,Hypothèses!$A$9:$H$28,8,FALSE)*(1+$E$19)^(S$21-1)/1000</f>
        <v>0</v>
      </c>
      <c r="T276" s="52">
        <f>T275*VLOOKUP($A274,Hypothèses!$A$9:$H$28,8,FALSE)*(1+$E$19)^(T$21-1)/1000</f>
        <v>0</v>
      </c>
      <c r="U276" s="52">
        <f>U275*VLOOKUP($A274,Hypothèses!$A$9:$H$28,8,FALSE)*(1+$E$19)^(U$21-1)/1000</f>
        <v>0</v>
      </c>
      <c r="V276" s="52">
        <f>V275*VLOOKUP($A274,Hypothèses!$A$9:$H$28,8,FALSE)*(1+$E$19)^(V$21-1)/1000</f>
        <v>0</v>
      </c>
      <c r="W276" s="52">
        <f>W275*VLOOKUP($A274,Hypothèses!$A$9:$H$28,8,FALSE)*(1+$E$19)^(W$21-1)/1000</f>
        <v>0</v>
      </c>
      <c r="X276" s="52">
        <f>X275*VLOOKUP($A274,Hypothèses!$A$9:$H$28,8,FALSE)*(1+$E$19)^(X$21-1)/1000</f>
        <v>0</v>
      </c>
    </row>
    <row r="277" spans="1:25" hidden="1" outlineLevel="3" x14ac:dyDescent="0.25">
      <c r="A277" s="555" t="str">
        <f>Hypothèses!A$28</f>
        <v>Véhicule n°20</v>
      </c>
      <c r="B277" s="130" t="s">
        <v>65</v>
      </c>
      <c r="C277" s="124"/>
      <c r="D277" s="50"/>
      <c r="E277" s="213"/>
      <c r="F277" s="213"/>
      <c r="G277" s="213"/>
      <c r="H277" s="213"/>
      <c r="I277" s="213"/>
      <c r="J277" s="213"/>
      <c r="K277" s="213"/>
      <c r="L277" s="213"/>
      <c r="M277" s="213"/>
      <c r="N277" s="213"/>
      <c r="O277" s="213"/>
      <c r="P277" s="213"/>
      <c r="Q277" s="213"/>
      <c r="R277" s="213"/>
      <c r="S277" s="213"/>
      <c r="T277" s="213"/>
      <c r="U277" s="213"/>
      <c r="V277" s="213"/>
      <c r="W277" s="213"/>
      <c r="X277" s="213"/>
    </row>
    <row r="278" spans="1:25" hidden="1" outlineLevel="3" x14ac:dyDescent="0.25">
      <c r="A278" s="556"/>
      <c r="B278" s="46" t="s">
        <v>140</v>
      </c>
      <c r="C278" s="46"/>
      <c r="D278" s="88"/>
      <c r="E278" s="52">
        <f>E277*VLOOKUP($A277,Hypothèses!$A$9:$H$28,6,FALSE)</f>
        <v>0</v>
      </c>
      <c r="F278" s="52">
        <f>F277*VLOOKUP($A277,Hypothèses!$A$9:$H$28,6,FALSE)</f>
        <v>0</v>
      </c>
      <c r="G278" s="52">
        <f>G277*VLOOKUP($A277,Hypothèses!$A$9:$H$28,6,FALSE)</f>
        <v>0</v>
      </c>
      <c r="H278" s="52">
        <f>H277*VLOOKUP($A277,Hypothèses!$A$9:$H$28,6,FALSE)</f>
        <v>0</v>
      </c>
      <c r="I278" s="52">
        <f>I277*VLOOKUP($A277,Hypothèses!$A$9:$H$28,6,FALSE)</f>
        <v>0</v>
      </c>
      <c r="J278" s="52">
        <f>J277*VLOOKUP($A277,Hypothèses!$A$9:$H$28,6,FALSE)</f>
        <v>0</v>
      </c>
      <c r="K278" s="52">
        <f>K277*VLOOKUP($A277,Hypothèses!$A$9:$H$28,6,FALSE)</f>
        <v>0</v>
      </c>
      <c r="L278" s="52">
        <f>L277*VLOOKUP($A277,Hypothèses!$A$9:$H$28,6,FALSE)</f>
        <v>0</v>
      </c>
      <c r="M278" s="52">
        <f>M277*VLOOKUP($A277,Hypothèses!$A$9:$H$28,6,FALSE)</f>
        <v>0</v>
      </c>
      <c r="N278" s="52">
        <f>N277*VLOOKUP($A277,Hypothèses!$A$9:$H$28,6,FALSE)</f>
        <v>0</v>
      </c>
      <c r="O278" s="52">
        <f>O277*VLOOKUP($A277,Hypothèses!$A$9:$H$28,6,FALSE)</f>
        <v>0</v>
      </c>
      <c r="P278" s="52">
        <f>P277*VLOOKUP($A277,Hypothèses!$A$9:$H$28,6,FALSE)</f>
        <v>0</v>
      </c>
      <c r="Q278" s="52">
        <f>Q277*VLOOKUP($A277,Hypothèses!$A$9:$H$28,6,FALSE)</f>
        <v>0</v>
      </c>
      <c r="R278" s="52">
        <f>R277*VLOOKUP($A277,Hypothèses!$A$9:$H$28,6,FALSE)</f>
        <v>0</v>
      </c>
      <c r="S278" s="52">
        <f>S277*VLOOKUP($A277,Hypothèses!$A$9:$H$28,6,FALSE)</f>
        <v>0</v>
      </c>
      <c r="T278" s="52">
        <f>T277*VLOOKUP($A277,Hypothèses!$A$9:$H$28,6,FALSE)</f>
        <v>0</v>
      </c>
      <c r="U278" s="52">
        <f>U277*VLOOKUP($A277,Hypothèses!$A$9:$H$28,6,FALSE)</f>
        <v>0</v>
      </c>
      <c r="V278" s="52">
        <f>V277*VLOOKUP($A277,Hypothèses!$A$9:$H$28,6,FALSE)</f>
        <v>0</v>
      </c>
      <c r="W278" s="52">
        <f>W277*VLOOKUP($A277,Hypothèses!$A$9:$H$28,6,FALSE)</f>
        <v>0</v>
      </c>
      <c r="X278" s="52">
        <f>X277*VLOOKUP($A277,Hypothèses!$A$9:$H$28,6,FALSE)</f>
        <v>0</v>
      </c>
    </row>
    <row r="279" spans="1:25" hidden="1" outlineLevel="3" x14ac:dyDescent="0.25">
      <c r="A279" s="557"/>
      <c r="B279" s="46" t="s">
        <v>138</v>
      </c>
      <c r="C279" s="46"/>
      <c r="D279" s="55"/>
      <c r="E279" s="52">
        <f>E278*VLOOKUP($A277,Hypothèses!$A$9:$H$28,8,FALSE)*(1+$E$19)^(E$21-1)/1000</f>
        <v>0</v>
      </c>
      <c r="F279" s="52">
        <f>F278*VLOOKUP($A277,Hypothèses!$A$9:$H$28,8,FALSE)*(1+$E$19)^(F$21-1)/1000</f>
        <v>0</v>
      </c>
      <c r="G279" s="52">
        <f>G278*VLOOKUP($A277,Hypothèses!$A$9:$H$28,8,FALSE)*(1+$E$19)^(G$21-1)/1000</f>
        <v>0</v>
      </c>
      <c r="H279" s="52">
        <f>H278*VLOOKUP($A277,Hypothèses!$A$9:$H$28,8,FALSE)*(1+$E$19)^(H$21-1)/1000</f>
        <v>0</v>
      </c>
      <c r="I279" s="52">
        <f>I278*VLOOKUP($A277,Hypothèses!$A$9:$H$28,8,FALSE)*(1+$E$19)^(I$21-1)/1000</f>
        <v>0</v>
      </c>
      <c r="J279" s="52">
        <f>J278*VLOOKUP($A277,Hypothèses!$A$9:$H$28,8,FALSE)*(1+$E$19)^(J$21-1)/1000</f>
        <v>0</v>
      </c>
      <c r="K279" s="52">
        <f>K278*VLOOKUP($A277,Hypothèses!$A$9:$H$28,8,FALSE)*(1+$E$19)^(K$21-1)/1000</f>
        <v>0</v>
      </c>
      <c r="L279" s="52">
        <f>L278*VLOOKUP($A277,Hypothèses!$A$9:$H$28,8,FALSE)*(1+$E$19)^(L$21-1)/1000</f>
        <v>0</v>
      </c>
      <c r="M279" s="52">
        <f>M278*VLOOKUP($A277,Hypothèses!$A$9:$H$28,8,FALSE)*(1+$E$19)^(M$21-1)/1000</f>
        <v>0</v>
      </c>
      <c r="N279" s="52">
        <f>N278*VLOOKUP($A277,Hypothèses!$A$9:$H$28,8,FALSE)*(1+$E$19)^(N$21-1)/1000</f>
        <v>0</v>
      </c>
      <c r="O279" s="52">
        <f>O278*VLOOKUP($A277,Hypothèses!$A$9:$H$28,8,FALSE)*(1+$E$19)^(O$21-1)/1000</f>
        <v>0</v>
      </c>
      <c r="P279" s="52">
        <f>P278*VLOOKUP($A277,Hypothèses!$A$9:$H$28,8,FALSE)*(1+$E$19)^(P$21-1)/1000</f>
        <v>0</v>
      </c>
      <c r="Q279" s="52">
        <f>Q278*VLOOKUP($A277,Hypothèses!$A$9:$H$28,8,FALSE)*(1+$E$19)^(Q$21-1)/1000</f>
        <v>0</v>
      </c>
      <c r="R279" s="52">
        <f>R278*VLOOKUP($A277,Hypothèses!$A$9:$H$28,8,FALSE)*(1+$E$19)^(R$21-1)/1000</f>
        <v>0</v>
      </c>
      <c r="S279" s="52">
        <f>S278*VLOOKUP($A277,Hypothèses!$A$9:$H$28,8,FALSE)*(1+$E$19)^(S$21-1)/1000</f>
        <v>0</v>
      </c>
      <c r="T279" s="52">
        <f>T278*VLOOKUP($A277,Hypothèses!$A$9:$H$28,8,FALSE)*(1+$E$19)^(T$21-1)/1000</f>
        <v>0</v>
      </c>
      <c r="U279" s="52">
        <f>U278*VLOOKUP($A277,Hypothèses!$A$9:$H$28,8,FALSE)*(1+$E$19)^(U$21-1)/1000</f>
        <v>0</v>
      </c>
      <c r="V279" s="52">
        <f>V278*VLOOKUP($A277,Hypothèses!$A$9:$H$28,8,FALSE)*(1+$E$19)^(V$21-1)/1000</f>
        <v>0</v>
      </c>
      <c r="W279" s="52">
        <f>W278*VLOOKUP($A277,Hypothèses!$A$9:$H$28,8,FALSE)*(1+$E$19)^(W$21-1)/1000</f>
        <v>0</v>
      </c>
      <c r="X279" s="52">
        <f>X278*VLOOKUP($A277,Hypothèses!$A$9:$H$28,8,FALSE)*(1+$E$19)^(X$21-1)/1000</f>
        <v>0</v>
      </c>
    </row>
    <row r="280" spans="1:25" hidden="1" outlineLevel="2" x14ac:dyDescent="0.25">
      <c r="A280" s="584" t="s">
        <v>137</v>
      </c>
      <c r="B280" s="131" t="s">
        <v>140</v>
      </c>
      <c r="C280" s="124"/>
      <c r="D280" s="50"/>
      <c r="E280" s="213"/>
      <c r="F280" s="213"/>
      <c r="G280" s="213"/>
      <c r="H280" s="213"/>
      <c r="I280" s="213"/>
      <c r="J280" s="213"/>
      <c r="K280" s="214"/>
      <c r="L280" s="213"/>
      <c r="M280" s="213"/>
      <c r="N280" s="213"/>
      <c r="O280" s="213"/>
      <c r="P280" s="213"/>
      <c r="Q280" s="213"/>
      <c r="R280" s="213"/>
      <c r="S280" s="213"/>
      <c r="T280" s="213"/>
      <c r="U280" s="213"/>
      <c r="V280" s="213"/>
      <c r="W280" s="213"/>
      <c r="X280" s="215"/>
    </row>
    <row r="281" spans="1:25" hidden="1" outlineLevel="2" x14ac:dyDescent="0.25">
      <c r="A281" s="585"/>
      <c r="B281" s="132" t="s">
        <v>138</v>
      </c>
      <c r="C281" s="127"/>
      <c r="D281" s="56"/>
      <c r="E281" s="216"/>
      <c r="F281" s="216"/>
      <c r="G281" s="216"/>
      <c r="H281" s="216"/>
      <c r="I281" s="216"/>
      <c r="J281" s="216"/>
      <c r="K281" s="216"/>
      <c r="L281" s="216"/>
      <c r="M281" s="216"/>
      <c r="N281" s="216"/>
      <c r="O281" s="216"/>
      <c r="P281" s="216"/>
      <c r="Q281" s="216"/>
      <c r="R281" s="216"/>
      <c r="S281" s="216"/>
      <c r="T281" s="216"/>
      <c r="U281" s="216"/>
      <c r="V281" s="216"/>
      <c r="W281" s="216"/>
      <c r="X281" s="217"/>
    </row>
    <row r="282" spans="1:25" hidden="1" outlineLevel="2" x14ac:dyDescent="0.25">
      <c r="A282" s="586" t="s">
        <v>142</v>
      </c>
      <c r="B282" s="587"/>
      <c r="C282" s="125"/>
      <c r="D282" s="99"/>
      <c r="E282" s="99" t="e">
        <f>(E221+E280+E248+E245+E242+E239+E236+E233+E230+E227+E224)/1000</f>
        <v>#VALUE!</v>
      </c>
      <c r="F282" s="99" t="e">
        <f t="shared" ref="F282:X282" si="68">(F221+F280+F248+F245+F242+F239+F236+F233+F230+F227+F224)/1000</f>
        <v>#VALUE!</v>
      </c>
      <c r="G282" s="99" t="e">
        <f t="shared" si="68"/>
        <v>#VALUE!</v>
      </c>
      <c r="H282" s="99" t="e">
        <f t="shared" si="68"/>
        <v>#VALUE!</v>
      </c>
      <c r="I282" s="99" t="e">
        <f t="shared" si="68"/>
        <v>#VALUE!</v>
      </c>
      <c r="J282" s="99" t="e">
        <f t="shared" si="68"/>
        <v>#VALUE!</v>
      </c>
      <c r="K282" s="99" t="e">
        <f t="shared" si="68"/>
        <v>#VALUE!</v>
      </c>
      <c r="L282" s="99" t="e">
        <f t="shared" si="68"/>
        <v>#VALUE!</v>
      </c>
      <c r="M282" s="99" t="e">
        <f t="shared" si="68"/>
        <v>#VALUE!</v>
      </c>
      <c r="N282" s="99" t="e">
        <f t="shared" si="68"/>
        <v>#VALUE!</v>
      </c>
      <c r="O282" s="99" t="e">
        <f t="shared" si="68"/>
        <v>#VALUE!</v>
      </c>
      <c r="P282" s="99" t="e">
        <f t="shared" si="68"/>
        <v>#VALUE!</v>
      </c>
      <c r="Q282" s="99" t="e">
        <f t="shared" si="68"/>
        <v>#VALUE!</v>
      </c>
      <c r="R282" s="99" t="e">
        <f t="shared" si="68"/>
        <v>#VALUE!</v>
      </c>
      <c r="S282" s="99" t="e">
        <f t="shared" si="68"/>
        <v>#VALUE!</v>
      </c>
      <c r="T282" s="99" t="e">
        <f t="shared" si="68"/>
        <v>#VALUE!</v>
      </c>
      <c r="U282" s="99" t="e">
        <f t="shared" si="68"/>
        <v>#VALUE!</v>
      </c>
      <c r="V282" s="99" t="e">
        <f t="shared" si="68"/>
        <v>#VALUE!</v>
      </c>
      <c r="W282" s="99" t="e">
        <f t="shared" si="68"/>
        <v>#VALUE!</v>
      </c>
      <c r="X282" s="100" t="e">
        <f t="shared" si="68"/>
        <v>#VALUE!</v>
      </c>
    </row>
    <row r="283" spans="1:25" ht="24" hidden="1" customHeight="1" outlineLevel="1" x14ac:dyDescent="0.25">
      <c r="A283" s="605" t="s">
        <v>141</v>
      </c>
      <c r="B283" s="606"/>
      <c r="C283" s="607"/>
      <c r="D283" s="98">
        <f>D285+D287+D289+D291+D293+D295+D297+D299+D301+D303</f>
        <v>0</v>
      </c>
      <c r="E283" s="98">
        <f>E285+E287+E289+E291+E293+E295+E297+E299+E301+E303</f>
        <v>0</v>
      </c>
      <c r="F283" s="98">
        <f t="shared" ref="F283:X283" si="69">F285+F287+F289+F291+F293+F295+F297+F299+F301+F303</f>
        <v>0</v>
      </c>
      <c r="G283" s="98">
        <f t="shared" si="69"/>
        <v>0</v>
      </c>
      <c r="H283" s="98">
        <f t="shared" si="69"/>
        <v>0</v>
      </c>
      <c r="I283" s="98">
        <f t="shared" si="69"/>
        <v>0</v>
      </c>
      <c r="J283" s="98">
        <f t="shared" si="69"/>
        <v>0</v>
      </c>
      <c r="K283" s="98">
        <f t="shared" si="69"/>
        <v>0</v>
      </c>
      <c r="L283" s="98">
        <f t="shared" si="69"/>
        <v>0</v>
      </c>
      <c r="M283" s="98">
        <f t="shared" si="69"/>
        <v>0</v>
      </c>
      <c r="N283" s="98">
        <f t="shared" si="69"/>
        <v>0</v>
      </c>
      <c r="O283" s="98">
        <f t="shared" si="69"/>
        <v>0</v>
      </c>
      <c r="P283" s="98">
        <f t="shared" si="69"/>
        <v>0</v>
      </c>
      <c r="Q283" s="98">
        <f t="shared" si="69"/>
        <v>0</v>
      </c>
      <c r="R283" s="98">
        <f t="shared" si="69"/>
        <v>0</v>
      </c>
      <c r="S283" s="98">
        <f t="shared" si="69"/>
        <v>0</v>
      </c>
      <c r="T283" s="98">
        <f t="shared" si="69"/>
        <v>0</v>
      </c>
      <c r="U283" s="98">
        <f t="shared" si="69"/>
        <v>0</v>
      </c>
      <c r="V283" s="98">
        <f t="shared" si="69"/>
        <v>0</v>
      </c>
      <c r="W283" s="98">
        <f t="shared" si="69"/>
        <v>0</v>
      </c>
      <c r="X283" s="94">
        <f t="shared" si="69"/>
        <v>0</v>
      </c>
    </row>
    <row r="284" spans="1:25" hidden="1" outlineLevel="2" x14ac:dyDescent="0.25">
      <c r="A284" s="555" t="str">
        <f>Hypothèses!A33</f>
        <v>Usage n°1</v>
      </c>
      <c r="B284" s="131" t="s">
        <v>140</v>
      </c>
      <c r="C284" s="124"/>
      <c r="D284" s="50"/>
      <c r="E284" s="218"/>
      <c r="F284" s="219"/>
      <c r="G284" s="219"/>
      <c r="H284" s="218"/>
      <c r="I284" s="218"/>
      <c r="J284" s="219"/>
      <c r="K284" s="218"/>
      <c r="L284" s="218"/>
      <c r="M284" s="218"/>
      <c r="N284" s="218"/>
      <c r="O284" s="219"/>
      <c r="P284" s="219"/>
      <c r="Q284" s="219"/>
      <c r="R284" s="219"/>
      <c r="S284" s="218"/>
      <c r="T284" s="218"/>
      <c r="U284" s="219"/>
      <c r="V284" s="219"/>
      <c r="W284" s="219"/>
      <c r="X284" s="219"/>
      <c r="Y284" s="91" t="str">
        <f>IF(MAX(E284:X284)&gt;Hypothèses!D$33,"Incohérence avec l'onglet hypothèses","")</f>
        <v/>
      </c>
    </row>
    <row r="285" spans="1:25" hidden="1" outlineLevel="2" x14ac:dyDescent="0.25">
      <c r="A285" s="557"/>
      <c r="B285" s="46" t="s">
        <v>138</v>
      </c>
      <c r="C285" s="46"/>
      <c r="D285" s="48"/>
      <c r="E285" s="220"/>
      <c r="F285" s="220"/>
      <c r="G285" s="220"/>
      <c r="H285" s="220"/>
      <c r="I285" s="220"/>
      <c r="J285" s="220"/>
      <c r="K285" s="220"/>
      <c r="L285" s="220"/>
      <c r="M285" s="220"/>
      <c r="N285" s="220"/>
      <c r="O285" s="220"/>
      <c r="P285" s="220"/>
      <c r="Q285" s="220"/>
      <c r="R285" s="220"/>
      <c r="S285" s="220"/>
      <c r="T285" s="220"/>
      <c r="U285" s="220"/>
      <c r="V285" s="220"/>
      <c r="W285" s="220"/>
      <c r="X285" s="220"/>
      <c r="Y285" s="91" t="str">
        <f>IF(MAX(E285:X285)&gt;Hypothèses!D$33,"Incohérence avec l'onglet hypothèses","")</f>
        <v/>
      </c>
    </row>
    <row r="286" spans="1:25" hidden="1" outlineLevel="2" x14ac:dyDescent="0.25">
      <c r="A286" s="555" t="str">
        <f>Hypothèses!A34</f>
        <v>Usage n°2</v>
      </c>
      <c r="B286" s="130" t="s">
        <v>140</v>
      </c>
      <c r="C286" s="124"/>
      <c r="D286" s="50"/>
      <c r="E286" s="213"/>
      <c r="F286" s="213"/>
      <c r="G286" s="213"/>
      <c r="H286" s="213"/>
      <c r="I286" s="213"/>
      <c r="J286" s="213"/>
      <c r="K286" s="213"/>
      <c r="L286" s="213"/>
      <c r="M286" s="219"/>
      <c r="N286" s="221"/>
      <c r="O286" s="213"/>
      <c r="P286" s="213"/>
      <c r="Q286" s="213"/>
      <c r="R286" s="213"/>
      <c r="S286" s="213"/>
      <c r="T286" s="213"/>
      <c r="U286" s="213"/>
      <c r="V286" s="213"/>
      <c r="W286" s="213"/>
      <c r="X286" s="213"/>
      <c r="Y286" s="91" t="str">
        <f>IF(MAX(E286:X286)&gt;Hypothèses!D$33,"Incohérence avec l'onglet hypothèses","")</f>
        <v/>
      </c>
    </row>
    <row r="287" spans="1:25" hidden="1" outlineLevel="2" x14ac:dyDescent="0.25">
      <c r="A287" s="557"/>
      <c r="B287" s="46" t="s">
        <v>138</v>
      </c>
      <c r="C287" s="46"/>
      <c r="D287" s="48"/>
      <c r="E287" s="220"/>
      <c r="F287" s="222"/>
      <c r="G287" s="222"/>
      <c r="H287" s="223"/>
      <c r="I287" s="220"/>
      <c r="J287" s="220"/>
      <c r="K287" s="220"/>
      <c r="L287" s="220"/>
      <c r="M287" s="220"/>
      <c r="N287" s="224"/>
      <c r="O287" s="222"/>
      <c r="P287" s="222"/>
      <c r="Q287" s="222"/>
      <c r="R287" s="222"/>
      <c r="S287" s="220"/>
      <c r="T287" s="220"/>
      <c r="U287" s="222"/>
      <c r="V287" s="222"/>
      <c r="W287" s="222"/>
      <c r="X287" s="222"/>
      <c r="Y287" s="91" t="str">
        <f>IF(MAX(E287:X287)&gt;Hypothèses!D$33,"Incohérence avec l'onglet hypothèses","")</f>
        <v/>
      </c>
    </row>
    <row r="288" spans="1:25" hidden="1" outlineLevel="2" x14ac:dyDescent="0.25">
      <c r="A288" s="555" t="str">
        <f>Hypothèses!A35</f>
        <v>Usage n°3</v>
      </c>
      <c r="B288" s="131" t="s">
        <v>140</v>
      </c>
      <c r="C288" s="124"/>
      <c r="D288" s="50"/>
      <c r="E288" s="213"/>
      <c r="F288" s="213"/>
      <c r="G288" s="213"/>
      <c r="H288" s="213"/>
      <c r="I288" s="213"/>
      <c r="J288" s="213"/>
      <c r="K288" s="213"/>
      <c r="L288" s="213"/>
      <c r="M288" s="219"/>
      <c r="N288" s="221"/>
      <c r="O288" s="213"/>
      <c r="P288" s="213"/>
      <c r="Q288" s="213"/>
      <c r="R288" s="213"/>
      <c r="S288" s="213"/>
      <c r="T288" s="213"/>
      <c r="U288" s="213"/>
      <c r="V288" s="213"/>
      <c r="W288" s="213"/>
      <c r="X288" s="213"/>
      <c r="Y288" s="91" t="str">
        <f>IF(MAX(E288:X288)&gt;Hypothèses!D$33,"Incohérence avec l'onglet hypothèses","")</f>
        <v/>
      </c>
    </row>
    <row r="289" spans="1:25" hidden="1" outlineLevel="2" x14ac:dyDescent="0.25">
      <c r="A289" s="557"/>
      <c r="B289" s="46" t="s">
        <v>138</v>
      </c>
      <c r="C289" s="46"/>
      <c r="D289" s="48"/>
      <c r="E289" s="220"/>
      <c r="F289" s="222"/>
      <c r="G289" s="222"/>
      <c r="H289" s="220"/>
      <c r="I289" s="224"/>
      <c r="J289" s="220"/>
      <c r="K289" s="220"/>
      <c r="L289" s="220"/>
      <c r="M289" s="220"/>
      <c r="N289" s="224"/>
      <c r="O289" s="222"/>
      <c r="P289" s="222"/>
      <c r="Q289" s="222"/>
      <c r="R289" s="222"/>
      <c r="S289" s="220"/>
      <c r="T289" s="220"/>
      <c r="U289" s="222"/>
      <c r="V289" s="222"/>
      <c r="W289" s="222"/>
      <c r="X289" s="222"/>
      <c r="Y289" s="91" t="str">
        <f>IF(MAX(E289:X289)&gt;Hypothèses!D$33,"Incohérence avec l'onglet hypothèses","")</f>
        <v/>
      </c>
    </row>
    <row r="290" spans="1:25" hidden="1" outlineLevel="2" x14ac:dyDescent="0.25">
      <c r="A290" s="555" t="str">
        <f>Hypothèses!A36</f>
        <v>Usage n°4</v>
      </c>
      <c r="B290" s="131" t="s">
        <v>140</v>
      </c>
      <c r="C290" s="124"/>
      <c r="D290" s="50"/>
      <c r="E290" s="213"/>
      <c r="F290" s="213"/>
      <c r="G290" s="213"/>
      <c r="H290" s="219"/>
      <c r="I290" s="221"/>
      <c r="J290" s="213"/>
      <c r="K290" s="213"/>
      <c r="L290" s="213"/>
      <c r="M290" s="219"/>
      <c r="N290" s="221"/>
      <c r="O290" s="213"/>
      <c r="P290" s="213"/>
      <c r="Q290" s="213"/>
      <c r="R290" s="213"/>
      <c r="S290" s="213"/>
      <c r="T290" s="213"/>
      <c r="U290" s="213"/>
      <c r="V290" s="213"/>
      <c r="W290" s="213"/>
      <c r="X290" s="213"/>
      <c r="Y290" s="91" t="str">
        <f>IF(MAX(E290:X290)&gt;Hypothèses!D$33,"Incohérence avec l'onglet hypothèses","")</f>
        <v/>
      </c>
    </row>
    <row r="291" spans="1:25" hidden="1" outlineLevel="2" x14ac:dyDescent="0.25">
      <c r="A291" s="557"/>
      <c r="B291" s="46" t="s">
        <v>138</v>
      </c>
      <c r="C291" s="46"/>
      <c r="D291" s="48"/>
      <c r="E291" s="220"/>
      <c r="F291" s="222"/>
      <c r="G291" s="222"/>
      <c r="H291" s="220"/>
      <c r="I291" s="224"/>
      <c r="J291" s="220"/>
      <c r="K291" s="220"/>
      <c r="L291" s="220"/>
      <c r="M291" s="220"/>
      <c r="N291" s="224"/>
      <c r="O291" s="222"/>
      <c r="P291" s="222"/>
      <c r="Q291" s="222"/>
      <c r="R291" s="222"/>
      <c r="S291" s="220"/>
      <c r="T291" s="220"/>
      <c r="U291" s="222"/>
      <c r="V291" s="222"/>
      <c r="W291" s="222"/>
      <c r="X291" s="222"/>
      <c r="Y291" s="91" t="str">
        <f>IF(MAX(E291:X291)&gt;Hypothèses!D$33,"Incohérence avec l'onglet hypothèses","")</f>
        <v/>
      </c>
    </row>
    <row r="292" spans="1:25" hidden="1" outlineLevel="2" x14ac:dyDescent="0.25">
      <c r="A292" s="555" t="str">
        <f>Hypothèses!A37</f>
        <v>Usage n°5</v>
      </c>
      <c r="B292" s="131" t="s">
        <v>140</v>
      </c>
      <c r="C292" s="124"/>
      <c r="D292" s="50"/>
      <c r="E292" s="213"/>
      <c r="F292" s="213"/>
      <c r="G292" s="213"/>
      <c r="H292" s="219"/>
      <c r="I292" s="221"/>
      <c r="J292" s="213"/>
      <c r="K292" s="213"/>
      <c r="L292" s="213"/>
      <c r="M292" s="219"/>
      <c r="N292" s="221"/>
      <c r="O292" s="213"/>
      <c r="P292" s="213"/>
      <c r="Q292" s="213"/>
      <c r="R292" s="213"/>
      <c r="S292" s="213"/>
      <c r="T292" s="213"/>
      <c r="U292" s="213"/>
      <c r="V292" s="213"/>
      <c r="W292" s="213"/>
      <c r="X292" s="213"/>
      <c r="Y292" s="91" t="str">
        <f>IF(MAX(E292:X292)&gt;Hypothèses!D$33,"Incohérence avec l'onglet hypothèses","")</f>
        <v/>
      </c>
    </row>
    <row r="293" spans="1:25" hidden="1" outlineLevel="2" x14ac:dyDescent="0.25">
      <c r="A293" s="557"/>
      <c r="B293" s="46" t="s">
        <v>138</v>
      </c>
      <c r="C293" s="46"/>
      <c r="D293" s="48"/>
      <c r="E293" s="220"/>
      <c r="F293" s="222"/>
      <c r="G293" s="222"/>
      <c r="H293" s="220"/>
      <c r="I293" s="224"/>
      <c r="J293" s="220"/>
      <c r="K293" s="220"/>
      <c r="L293" s="220"/>
      <c r="M293" s="220"/>
      <c r="N293" s="224"/>
      <c r="O293" s="222"/>
      <c r="P293" s="222"/>
      <c r="Q293" s="222"/>
      <c r="R293" s="222"/>
      <c r="S293" s="220"/>
      <c r="T293" s="220"/>
      <c r="U293" s="222"/>
      <c r="V293" s="222"/>
      <c r="W293" s="222"/>
      <c r="X293" s="222"/>
      <c r="Y293" s="91" t="str">
        <f>IF(MAX(E293:X293)&gt;Hypothèses!D$33,"Incohérence avec l'onglet hypothèses","")</f>
        <v/>
      </c>
    </row>
    <row r="294" spans="1:25" hidden="1" outlineLevel="2" x14ac:dyDescent="0.25">
      <c r="A294" s="555" t="str">
        <f>Hypothèses!A38</f>
        <v>Usage n°6</v>
      </c>
      <c r="B294" s="131" t="s">
        <v>140</v>
      </c>
      <c r="C294" s="124"/>
      <c r="D294" s="50"/>
      <c r="E294" s="213"/>
      <c r="F294" s="213"/>
      <c r="G294" s="213"/>
      <c r="H294" s="219"/>
      <c r="I294" s="221"/>
      <c r="J294" s="213"/>
      <c r="K294" s="213"/>
      <c r="L294" s="213"/>
      <c r="M294" s="219"/>
      <c r="N294" s="221"/>
      <c r="O294" s="213"/>
      <c r="P294" s="213"/>
      <c r="Q294" s="213"/>
      <c r="R294" s="213"/>
      <c r="S294" s="213"/>
      <c r="T294" s="213"/>
      <c r="U294" s="213"/>
      <c r="V294" s="213"/>
      <c r="W294" s="213"/>
      <c r="X294" s="213"/>
      <c r="Y294" s="91" t="str">
        <f>IF(MAX(E294:X294)&gt;Hypothèses!D$33,"Incohérence avec l'onglet hypothèses","")</f>
        <v/>
      </c>
    </row>
    <row r="295" spans="1:25" hidden="1" outlineLevel="2" x14ac:dyDescent="0.25">
      <c r="A295" s="557"/>
      <c r="B295" s="46" t="s">
        <v>138</v>
      </c>
      <c r="C295" s="46"/>
      <c r="D295" s="48"/>
      <c r="E295" s="220"/>
      <c r="F295" s="222"/>
      <c r="G295" s="222"/>
      <c r="H295" s="220"/>
      <c r="I295" s="224"/>
      <c r="J295" s="220"/>
      <c r="K295" s="220"/>
      <c r="L295" s="220"/>
      <c r="M295" s="220"/>
      <c r="N295" s="224"/>
      <c r="O295" s="222"/>
      <c r="P295" s="222"/>
      <c r="Q295" s="222"/>
      <c r="R295" s="222"/>
      <c r="S295" s="220"/>
      <c r="T295" s="220"/>
      <c r="U295" s="222"/>
      <c r="V295" s="222"/>
      <c r="W295" s="222"/>
      <c r="X295" s="222"/>
      <c r="Y295" s="91" t="str">
        <f>IF(MAX(E295:X295)&gt;Hypothèses!D$33,"Incohérence avec l'onglet hypothèses","")</f>
        <v/>
      </c>
    </row>
    <row r="296" spans="1:25" hidden="1" outlineLevel="2" x14ac:dyDescent="0.25">
      <c r="A296" s="555" t="str">
        <f>Hypothèses!A39</f>
        <v>Usage n°7</v>
      </c>
      <c r="B296" s="131" t="s">
        <v>140</v>
      </c>
      <c r="C296" s="124"/>
      <c r="D296" s="50"/>
      <c r="E296" s="213"/>
      <c r="F296" s="213"/>
      <c r="G296" s="213"/>
      <c r="H296" s="219"/>
      <c r="I296" s="221"/>
      <c r="J296" s="213"/>
      <c r="K296" s="213"/>
      <c r="L296" s="213"/>
      <c r="M296" s="219"/>
      <c r="N296" s="221"/>
      <c r="O296" s="213"/>
      <c r="P296" s="213"/>
      <c r="Q296" s="213"/>
      <c r="R296" s="213"/>
      <c r="S296" s="213"/>
      <c r="T296" s="213"/>
      <c r="U296" s="213"/>
      <c r="V296" s="213"/>
      <c r="W296" s="213"/>
      <c r="X296" s="213"/>
      <c r="Y296" s="91" t="str">
        <f>IF(MAX(E296:X296)&gt;Hypothèses!D$33,"Incohérence avec l'onglet hypothèses","")</f>
        <v/>
      </c>
    </row>
    <row r="297" spans="1:25" hidden="1" outlineLevel="2" x14ac:dyDescent="0.25">
      <c r="A297" s="557"/>
      <c r="B297" s="46" t="s">
        <v>138</v>
      </c>
      <c r="C297" s="46"/>
      <c r="D297" s="48"/>
      <c r="E297" s="220"/>
      <c r="F297" s="222"/>
      <c r="G297" s="222"/>
      <c r="H297" s="220"/>
      <c r="I297" s="224"/>
      <c r="J297" s="220"/>
      <c r="K297" s="220"/>
      <c r="L297" s="220"/>
      <c r="M297" s="220"/>
      <c r="N297" s="224"/>
      <c r="O297" s="222"/>
      <c r="P297" s="222"/>
      <c r="Q297" s="222"/>
      <c r="R297" s="222"/>
      <c r="S297" s="220"/>
      <c r="T297" s="220"/>
      <c r="U297" s="222"/>
      <c r="V297" s="222"/>
      <c r="W297" s="222"/>
      <c r="X297" s="222"/>
      <c r="Y297" s="91" t="str">
        <f>IF(MAX(E297:X297)&gt;Hypothèses!D$33,"Incohérence avec l'onglet hypothèses","")</f>
        <v/>
      </c>
    </row>
    <row r="298" spans="1:25" hidden="1" outlineLevel="2" x14ac:dyDescent="0.25">
      <c r="A298" s="555" t="str">
        <f>Hypothèses!A40</f>
        <v>Usage n°8</v>
      </c>
      <c r="B298" s="130" t="s">
        <v>140</v>
      </c>
      <c r="C298" s="124"/>
      <c r="D298" s="50"/>
      <c r="E298" s="213"/>
      <c r="F298" s="213"/>
      <c r="G298" s="213"/>
      <c r="H298" s="219"/>
      <c r="I298" s="221"/>
      <c r="J298" s="213"/>
      <c r="K298" s="213"/>
      <c r="L298" s="213"/>
      <c r="M298" s="219"/>
      <c r="N298" s="221"/>
      <c r="O298" s="213"/>
      <c r="P298" s="213"/>
      <c r="Q298" s="213"/>
      <c r="R298" s="213"/>
      <c r="S298" s="213"/>
      <c r="T298" s="213"/>
      <c r="U298" s="213"/>
      <c r="V298" s="213"/>
      <c r="W298" s="213"/>
      <c r="X298" s="213"/>
      <c r="Y298" s="91" t="str">
        <f>IF(MAX(E298:X298)&gt;Hypothèses!D$33,"Incohérence avec l'onglet hypothèses","")</f>
        <v/>
      </c>
    </row>
    <row r="299" spans="1:25" hidden="1" outlineLevel="2" x14ac:dyDescent="0.25">
      <c r="A299" s="557"/>
      <c r="B299" s="46" t="s">
        <v>138</v>
      </c>
      <c r="C299" s="46"/>
      <c r="D299" s="48"/>
      <c r="E299" s="220"/>
      <c r="F299" s="222"/>
      <c r="G299" s="222"/>
      <c r="H299" s="220"/>
      <c r="I299" s="224"/>
      <c r="J299" s="220"/>
      <c r="K299" s="220"/>
      <c r="L299" s="220"/>
      <c r="M299" s="220"/>
      <c r="N299" s="224"/>
      <c r="O299" s="222"/>
      <c r="P299" s="222"/>
      <c r="Q299" s="222"/>
      <c r="R299" s="222"/>
      <c r="S299" s="220"/>
      <c r="T299" s="220"/>
      <c r="U299" s="222"/>
      <c r="V299" s="222"/>
      <c r="W299" s="222"/>
      <c r="X299" s="222"/>
      <c r="Y299" s="91" t="str">
        <f>IF(MAX(E299:X299)&gt;Hypothèses!D$33,"Incohérence avec l'onglet hypothèses","")</f>
        <v/>
      </c>
    </row>
    <row r="300" spans="1:25" hidden="1" outlineLevel="2" x14ac:dyDescent="0.25">
      <c r="A300" s="555" t="str">
        <f>Hypothèses!A41</f>
        <v>Usage n°9</v>
      </c>
      <c r="B300" s="131" t="s">
        <v>140</v>
      </c>
      <c r="C300" s="124"/>
      <c r="D300" s="50"/>
      <c r="E300" s="213"/>
      <c r="F300" s="213"/>
      <c r="G300" s="213"/>
      <c r="H300" s="219"/>
      <c r="I300" s="221"/>
      <c r="J300" s="213"/>
      <c r="K300" s="213"/>
      <c r="L300" s="213"/>
      <c r="M300" s="219"/>
      <c r="N300" s="221"/>
      <c r="O300" s="213"/>
      <c r="P300" s="213"/>
      <c r="Q300" s="213"/>
      <c r="R300" s="213"/>
      <c r="S300" s="213"/>
      <c r="T300" s="213"/>
      <c r="U300" s="213"/>
      <c r="V300" s="213"/>
      <c r="W300" s="213"/>
      <c r="X300" s="213"/>
      <c r="Y300" s="91" t="str">
        <f>IF(MAX(E300:X300)&gt;Hypothèses!D$33,"Incohérence avec l'onglet hypothèses","")</f>
        <v/>
      </c>
    </row>
    <row r="301" spans="1:25" hidden="1" outlineLevel="2" x14ac:dyDescent="0.25">
      <c r="A301" s="557"/>
      <c r="B301" s="46" t="s">
        <v>138</v>
      </c>
      <c r="C301" s="46"/>
      <c r="D301" s="48"/>
      <c r="E301" s="220"/>
      <c r="F301" s="222"/>
      <c r="G301" s="222"/>
      <c r="H301" s="220"/>
      <c r="I301" s="224"/>
      <c r="J301" s="220"/>
      <c r="K301" s="220"/>
      <c r="L301" s="220"/>
      <c r="M301" s="220"/>
      <c r="N301" s="224"/>
      <c r="O301" s="222"/>
      <c r="P301" s="222"/>
      <c r="Q301" s="222"/>
      <c r="R301" s="222"/>
      <c r="S301" s="220"/>
      <c r="T301" s="220"/>
      <c r="U301" s="222"/>
      <c r="V301" s="222"/>
      <c r="W301" s="222"/>
      <c r="X301" s="222"/>
      <c r="Y301" s="91" t="str">
        <f>IF(MAX(E301:X301)&gt;Hypothèses!D$33,"Incohérence avec l'onglet hypothèses","")</f>
        <v/>
      </c>
    </row>
    <row r="302" spans="1:25" hidden="1" outlineLevel="2" x14ac:dyDescent="0.25">
      <c r="A302" s="555" t="str">
        <f>Hypothèses!A42</f>
        <v>Usage n°10</v>
      </c>
      <c r="B302" s="130" t="s">
        <v>140</v>
      </c>
      <c r="C302" s="124"/>
      <c r="D302" s="50"/>
      <c r="E302" s="213"/>
      <c r="F302" s="213"/>
      <c r="G302" s="213"/>
      <c r="H302" s="219"/>
      <c r="I302" s="221"/>
      <c r="J302" s="213"/>
      <c r="K302" s="213"/>
      <c r="L302" s="213"/>
      <c r="M302" s="219"/>
      <c r="N302" s="221"/>
      <c r="O302" s="213"/>
      <c r="P302" s="213"/>
      <c r="Q302" s="213"/>
      <c r="R302" s="213"/>
      <c r="S302" s="213"/>
      <c r="T302" s="213"/>
      <c r="U302" s="213"/>
      <c r="V302" s="213"/>
      <c r="W302" s="213"/>
      <c r="X302" s="213"/>
      <c r="Y302" s="91" t="str">
        <f>IF(MAX(E302:X302)&gt;Hypothèses!D$33,"Incohérence avec l'onglet hypothèses","")</f>
        <v/>
      </c>
    </row>
    <row r="303" spans="1:25" hidden="1" outlineLevel="2" x14ac:dyDescent="0.25">
      <c r="A303" s="557"/>
      <c r="B303" s="89" t="s">
        <v>138</v>
      </c>
      <c r="C303" s="126"/>
      <c r="D303" s="90"/>
      <c r="E303" s="220"/>
      <c r="F303" s="220"/>
      <c r="G303" s="220"/>
      <c r="H303" s="220"/>
      <c r="I303" s="224"/>
      <c r="J303" s="220"/>
      <c r="K303" s="220"/>
      <c r="L303" s="220"/>
      <c r="M303" s="220"/>
      <c r="N303" s="224"/>
      <c r="O303" s="220"/>
      <c r="P303" s="220"/>
      <c r="Q303" s="220"/>
      <c r="R303" s="220"/>
      <c r="S303" s="220"/>
      <c r="T303" s="220"/>
      <c r="U303" s="220"/>
      <c r="V303" s="220"/>
      <c r="W303" s="220"/>
      <c r="X303" s="220"/>
      <c r="Y303" s="91" t="str">
        <f>IF(MAX(E303:X303)&gt;Hypothèses!D$33,"Incohérence avec l'onglet hypothèses","")</f>
        <v/>
      </c>
    </row>
    <row r="304" spans="1:25" hidden="1" outlineLevel="2" x14ac:dyDescent="0.25">
      <c r="A304" s="582" t="s">
        <v>143</v>
      </c>
      <c r="B304" s="583"/>
      <c r="C304" s="133"/>
      <c r="D304" s="101"/>
      <c r="E304" s="101">
        <f>(E284+E286+E288+E290+E292+E294+E296+E298+E300+E302)/1000</f>
        <v>0</v>
      </c>
      <c r="F304" s="101">
        <f t="shared" ref="F304:X304" si="70">(F284+F286+F288+F290+F292+F294+F296+F298+F300+F302)/1000</f>
        <v>0</v>
      </c>
      <c r="G304" s="101">
        <f t="shared" si="70"/>
        <v>0</v>
      </c>
      <c r="H304" s="101">
        <f t="shared" si="70"/>
        <v>0</v>
      </c>
      <c r="I304" s="101">
        <f t="shared" si="70"/>
        <v>0</v>
      </c>
      <c r="J304" s="101">
        <f t="shared" si="70"/>
        <v>0</v>
      </c>
      <c r="K304" s="101">
        <f t="shared" si="70"/>
        <v>0</v>
      </c>
      <c r="L304" s="101">
        <f t="shared" si="70"/>
        <v>0</v>
      </c>
      <c r="M304" s="101">
        <f t="shared" si="70"/>
        <v>0</v>
      </c>
      <c r="N304" s="101">
        <f t="shared" si="70"/>
        <v>0</v>
      </c>
      <c r="O304" s="101">
        <f t="shared" si="70"/>
        <v>0</v>
      </c>
      <c r="P304" s="101">
        <f t="shared" si="70"/>
        <v>0</v>
      </c>
      <c r="Q304" s="101">
        <f t="shared" si="70"/>
        <v>0</v>
      </c>
      <c r="R304" s="101">
        <f t="shared" si="70"/>
        <v>0</v>
      </c>
      <c r="S304" s="101">
        <f t="shared" si="70"/>
        <v>0</v>
      </c>
      <c r="T304" s="101">
        <f t="shared" si="70"/>
        <v>0</v>
      </c>
      <c r="U304" s="101">
        <f t="shared" si="70"/>
        <v>0</v>
      </c>
      <c r="V304" s="101">
        <f t="shared" si="70"/>
        <v>0</v>
      </c>
      <c r="W304" s="101">
        <f t="shared" si="70"/>
        <v>0</v>
      </c>
      <c r="X304" s="101">
        <f t="shared" si="70"/>
        <v>0</v>
      </c>
    </row>
    <row r="305" spans="1:24" hidden="1" outlineLevel="1" x14ac:dyDescent="0.25">
      <c r="A305" s="101" t="s">
        <v>229</v>
      </c>
      <c r="B305" s="201"/>
      <c r="C305" s="225" t="s">
        <v>230</v>
      </c>
      <c r="D305" s="212"/>
      <c r="E305" s="212"/>
      <c r="F305" s="212"/>
      <c r="G305" s="212"/>
      <c r="H305" s="212"/>
      <c r="I305" s="212"/>
      <c r="J305" s="212"/>
      <c r="K305" s="212"/>
      <c r="L305" s="212"/>
      <c r="M305" s="212"/>
      <c r="N305" s="212"/>
      <c r="O305" s="212"/>
      <c r="P305" s="212"/>
      <c r="Q305" s="212"/>
      <c r="R305" s="212"/>
      <c r="S305" s="212"/>
      <c r="T305" s="212"/>
      <c r="U305" s="212"/>
      <c r="V305" s="212"/>
      <c r="W305" s="212"/>
      <c r="X305" s="212"/>
    </row>
    <row r="306" spans="1:24" hidden="1" outlineLevel="1" x14ac:dyDescent="0.25">
      <c r="D306" s="53"/>
      <c r="E306" s="41"/>
      <c r="F306" s="41"/>
      <c r="G306" s="41"/>
      <c r="H306" s="41"/>
      <c r="I306" s="41"/>
      <c r="J306" s="41"/>
      <c r="K306" s="41"/>
      <c r="L306" s="41"/>
      <c r="M306" s="41"/>
      <c r="N306" s="41"/>
      <c r="O306" s="41"/>
      <c r="P306" s="41"/>
      <c r="Q306" s="41"/>
      <c r="R306" s="41"/>
      <c r="S306" s="41"/>
      <c r="T306" s="41"/>
      <c r="U306" s="41"/>
      <c r="V306" s="41"/>
      <c r="W306" s="41"/>
      <c r="X306" s="41"/>
    </row>
    <row r="307" spans="1:24" hidden="1" outlineLevel="1" x14ac:dyDescent="0.25">
      <c r="A307" s="95" t="s">
        <v>81</v>
      </c>
      <c r="B307" s="129"/>
      <c r="C307" s="122"/>
      <c r="D307" s="97">
        <f t="shared" ref="D307:X307" si="71">SUM(D313:D315)+D311</f>
        <v>0</v>
      </c>
      <c r="E307" s="97">
        <f t="shared" si="71"/>
        <v>0</v>
      </c>
      <c r="F307" s="97">
        <f t="shared" si="71"/>
        <v>0</v>
      </c>
      <c r="G307" s="97">
        <f t="shared" si="71"/>
        <v>0</v>
      </c>
      <c r="H307" s="97">
        <f t="shared" si="71"/>
        <v>0</v>
      </c>
      <c r="I307" s="97">
        <f t="shared" si="71"/>
        <v>0</v>
      </c>
      <c r="J307" s="97">
        <f t="shared" si="71"/>
        <v>0</v>
      </c>
      <c r="K307" s="97">
        <f t="shared" si="71"/>
        <v>0</v>
      </c>
      <c r="L307" s="97">
        <f t="shared" si="71"/>
        <v>0</v>
      </c>
      <c r="M307" s="97">
        <f t="shared" si="71"/>
        <v>0</v>
      </c>
      <c r="N307" s="97">
        <f t="shared" si="71"/>
        <v>0</v>
      </c>
      <c r="O307" s="97">
        <f t="shared" si="71"/>
        <v>0</v>
      </c>
      <c r="P307" s="97">
        <f t="shared" si="71"/>
        <v>0</v>
      </c>
      <c r="Q307" s="97">
        <f t="shared" si="71"/>
        <v>0</v>
      </c>
      <c r="R307" s="97">
        <f t="shared" si="71"/>
        <v>0</v>
      </c>
      <c r="S307" s="97">
        <f t="shared" si="71"/>
        <v>0</v>
      </c>
      <c r="T307" s="97">
        <f t="shared" si="71"/>
        <v>0</v>
      </c>
      <c r="U307" s="97">
        <f t="shared" si="71"/>
        <v>0</v>
      </c>
      <c r="V307" s="97">
        <f t="shared" si="71"/>
        <v>0</v>
      </c>
      <c r="W307" s="97">
        <f t="shared" si="71"/>
        <v>0</v>
      </c>
      <c r="X307" s="97">
        <f t="shared" si="71"/>
        <v>0</v>
      </c>
    </row>
    <row r="308" spans="1:24" hidden="1" outlineLevel="1" x14ac:dyDescent="0.25">
      <c r="A308" s="571" t="s">
        <v>83</v>
      </c>
      <c r="B308" s="573" t="s">
        <v>199</v>
      </c>
      <c r="C308" s="574"/>
      <c r="D308" s="50"/>
      <c r="E308" s="213"/>
      <c r="F308" s="213"/>
      <c r="G308" s="213"/>
      <c r="H308" s="213"/>
      <c r="I308" s="213"/>
      <c r="J308" s="213"/>
      <c r="K308" s="213"/>
      <c r="L308" s="213"/>
      <c r="M308" s="213"/>
      <c r="N308" s="213"/>
      <c r="O308" s="213"/>
      <c r="P308" s="213"/>
      <c r="Q308" s="213"/>
      <c r="R308" s="213"/>
      <c r="S308" s="213"/>
      <c r="T308" s="213"/>
      <c r="U308" s="213"/>
      <c r="V308" s="213"/>
      <c r="W308" s="213"/>
      <c r="X308" s="213"/>
    </row>
    <row r="309" spans="1:24" hidden="1" outlineLevel="1" x14ac:dyDescent="0.25">
      <c r="A309" s="572"/>
      <c r="B309" s="89" t="s">
        <v>144</v>
      </c>
      <c r="C309" s="89"/>
      <c r="D309" s="48"/>
      <c r="E309" s="226"/>
      <c r="F309" s="226"/>
      <c r="G309" s="226"/>
      <c r="H309" s="226"/>
      <c r="I309" s="226"/>
      <c r="J309" s="226"/>
      <c r="K309" s="226"/>
      <c r="L309" s="226"/>
      <c r="M309" s="226"/>
      <c r="N309" s="226"/>
      <c r="O309" s="226"/>
      <c r="P309" s="226"/>
      <c r="Q309" s="226"/>
      <c r="R309" s="226"/>
      <c r="S309" s="226"/>
      <c r="T309" s="226"/>
      <c r="U309" s="226"/>
      <c r="V309" s="226"/>
      <c r="W309" s="226"/>
      <c r="X309" s="226"/>
    </row>
    <row r="310" spans="1:24" hidden="1" outlineLevel="1" x14ac:dyDescent="0.25">
      <c r="A310" s="558" t="s">
        <v>21</v>
      </c>
      <c r="B310" s="130" t="s">
        <v>84</v>
      </c>
      <c r="C310" s="124"/>
      <c r="D310" s="50"/>
      <c r="E310" s="213"/>
      <c r="F310" s="213"/>
      <c r="G310" s="213"/>
      <c r="H310" s="213"/>
      <c r="I310" s="213"/>
      <c r="J310" s="213"/>
      <c r="K310" s="213"/>
      <c r="L310" s="213"/>
      <c r="M310" s="213"/>
      <c r="N310" s="213"/>
      <c r="O310" s="213"/>
      <c r="P310" s="213"/>
      <c r="Q310" s="213"/>
      <c r="R310" s="213"/>
      <c r="S310" s="213"/>
      <c r="T310" s="213"/>
      <c r="U310" s="213"/>
      <c r="V310" s="213"/>
      <c r="W310" s="213"/>
      <c r="X310" s="213"/>
    </row>
    <row r="311" spans="1:24" hidden="1" outlineLevel="1" x14ac:dyDescent="0.25">
      <c r="A311" s="559"/>
      <c r="B311" s="89" t="s">
        <v>144</v>
      </c>
      <c r="C311" s="127"/>
      <c r="D311" s="48"/>
      <c r="E311" s="52">
        <f>E310*$E$205*(1+IF($E$206&lt;&gt;0,$E$206,$G$206))^(E$211-1)/1000</f>
        <v>0</v>
      </c>
      <c r="F311" s="52">
        <f t="shared" ref="F311:X311" si="72">F310*$E$205*(1+IF($E$206&lt;&gt;0,$E$206,$G$206))^(F$211-1)/1000</f>
        <v>0</v>
      </c>
      <c r="G311" s="52">
        <f t="shared" si="72"/>
        <v>0</v>
      </c>
      <c r="H311" s="52">
        <f t="shared" si="72"/>
        <v>0</v>
      </c>
      <c r="I311" s="52">
        <f t="shared" si="72"/>
        <v>0</v>
      </c>
      <c r="J311" s="52">
        <f t="shared" si="72"/>
        <v>0</v>
      </c>
      <c r="K311" s="52">
        <f t="shared" si="72"/>
        <v>0</v>
      </c>
      <c r="L311" s="52">
        <f t="shared" si="72"/>
        <v>0</v>
      </c>
      <c r="M311" s="52">
        <f t="shared" si="72"/>
        <v>0</v>
      </c>
      <c r="N311" s="52">
        <f t="shared" si="72"/>
        <v>0</v>
      </c>
      <c r="O311" s="52">
        <f t="shared" si="72"/>
        <v>0</v>
      </c>
      <c r="P311" s="52">
        <f t="shared" si="72"/>
        <v>0</v>
      </c>
      <c r="Q311" s="52">
        <f t="shared" si="72"/>
        <v>0</v>
      </c>
      <c r="R311" s="52">
        <f t="shared" si="72"/>
        <v>0</v>
      </c>
      <c r="S311" s="52">
        <f t="shared" si="72"/>
        <v>0</v>
      </c>
      <c r="T311" s="52">
        <f t="shared" si="72"/>
        <v>0</v>
      </c>
      <c r="U311" s="52">
        <f t="shared" si="72"/>
        <v>0</v>
      </c>
      <c r="V311" s="52">
        <f t="shared" si="72"/>
        <v>0</v>
      </c>
      <c r="W311" s="52">
        <f t="shared" si="72"/>
        <v>0</v>
      </c>
      <c r="X311" s="52">
        <f t="shared" si="72"/>
        <v>0</v>
      </c>
    </row>
    <row r="312" spans="1:24" hidden="1" outlineLevel="1" x14ac:dyDescent="0.25">
      <c r="A312" s="558" t="s">
        <v>74</v>
      </c>
      <c r="B312" s="130" t="s">
        <v>85</v>
      </c>
      <c r="C312" s="124"/>
      <c r="D312" s="50"/>
      <c r="E312" s="213"/>
      <c r="F312" s="213"/>
      <c r="G312" s="213"/>
      <c r="H312" s="213"/>
      <c r="I312" s="213"/>
      <c r="J312" s="213"/>
      <c r="K312" s="213"/>
      <c r="L312" s="213"/>
      <c r="M312" s="213"/>
      <c r="N312" s="213"/>
      <c r="O312" s="213"/>
      <c r="P312" s="213"/>
      <c r="Q312" s="213"/>
      <c r="R312" s="213"/>
      <c r="S312" s="213"/>
      <c r="T312" s="213"/>
      <c r="U312" s="213"/>
      <c r="V312" s="213"/>
      <c r="W312" s="213"/>
      <c r="X312" s="213"/>
    </row>
    <row r="313" spans="1:24" hidden="1" outlineLevel="1" x14ac:dyDescent="0.25">
      <c r="A313" s="559"/>
      <c r="B313" s="89" t="s">
        <v>144</v>
      </c>
      <c r="C313" s="127"/>
      <c r="D313" s="48"/>
      <c r="E313" s="52">
        <f>E312*$E207*(1+$E208)^(E$211-1)/1000</f>
        <v>0</v>
      </c>
      <c r="F313" s="52">
        <f t="shared" ref="F313:X313" si="73">F312*$E207*(1+$E208)^(F$211-1)/1000</f>
        <v>0</v>
      </c>
      <c r="G313" s="52">
        <f t="shared" si="73"/>
        <v>0</v>
      </c>
      <c r="H313" s="52">
        <f t="shared" si="73"/>
        <v>0</v>
      </c>
      <c r="I313" s="52">
        <f t="shared" si="73"/>
        <v>0</v>
      </c>
      <c r="J313" s="52">
        <f t="shared" si="73"/>
        <v>0</v>
      </c>
      <c r="K313" s="52">
        <f t="shared" si="73"/>
        <v>0</v>
      </c>
      <c r="L313" s="52">
        <f t="shared" si="73"/>
        <v>0</v>
      </c>
      <c r="M313" s="52">
        <f t="shared" si="73"/>
        <v>0</v>
      </c>
      <c r="N313" s="52">
        <f t="shared" si="73"/>
        <v>0</v>
      </c>
      <c r="O313" s="52">
        <f t="shared" si="73"/>
        <v>0</v>
      </c>
      <c r="P313" s="52">
        <f t="shared" si="73"/>
        <v>0</v>
      </c>
      <c r="Q313" s="52">
        <f t="shared" si="73"/>
        <v>0</v>
      </c>
      <c r="R313" s="52">
        <f t="shared" si="73"/>
        <v>0</v>
      </c>
      <c r="S313" s="52">
        <f t="shared" si="73"/>
        <v>0</v>
      </c>
      <c r="T313" s="52">
        <f t="shared" si="73"/>
        <v>0</v>
      </c>
      <c r="U313" s="52">
        <f t="shared" si="73"/>
        <v>0</v>
      </c>
      <c r="V313" s="52">
        <f t="shared" si="73"/>
        <v>0</v>
      </c>
      <c r="W313" s="52">
        <f t="shared" si="73"/>
        <v>0</v>
      </c>
      <c r="X313" s="52">
        <f t="shared" si="73"/>
        <v>0</v>
      </c>
    </row>
    <row r="314" spans="1:24" ht="15" hidden="1" customHeight="1" outlineLevel="1" x14ac:dyDescent="0.25">
      <c r="A314" s="51" t="s">
        <v>193</v>
      </c>
      <c r="B314" s="130"/>
      <c r="C314" s="124"/>
      <c r="D314" s="50"/>
      <c r="E314" s="213"/>
      <c r="F314" s="213"/>
      <c r="G314" s="213"/>
      <c r="H314" s="213"/>
      <c r="I314" s="213"/>
      <c r="J314" s="213"/>
      <c r="K314" s="213"/>
      <c r="L314" s="213"/>
      <c r="M314" s="213"/>
      <c r="N314" s="213"/>
      <c r="O314" s="213"/>
      <c r="P314" s="213"/>
      <c r="Q314" s="213"/>
      <c r="R314" s="213"/>
      <c r="S314" s="213"/>
      <c r="T314" s="213"/>
      <c r="U314" s="213"/>
      <c r="V314" s="213"/>
      <c r="W314" s="213"/>
      <c r="X314" s="213"/>
    </row>
    <row r="315" spans="1:24" hidden="1" outlineLevel="1" x14ac:dyDescent="0.25">
      <c r="A315" s="49" t="s">
        <v>194</v>
      </c>
      <c r="B315" s="134"/>
      <c r="C315" s="127"/>
      <c r="D315" s="48"/>
      <c r="E315" s="226"/>
      <c r="F315" s="226"/>
      <c r="G315" s="226"/>
      <c r="H315" s="226"/>
      <c r="I315" s="226"/>
      <c r="J315" s="226"/>
      <c r="K315" s="226"/>
      <c r="L315" s="226"/>
      <c r="M315" s="226"/>
      <c r="N315" s="226"/>
      <c r="O315" s="226"/>
      <c r="P315" s="226"/>
      <c r="Q315" s="226"/>
      <c r="R315" s="226"/>
      <c r="S315" s="226"/>
      <c r="T315" s="226"/>
      <c r="U315" s="226"/>
      <c r="V315" s="226"/>
      <c r="W315" s="226"/>
      <c r="X315" s="226"/>
    </row>
    <row r="316" spans="1:24" hidden="1" outlineLevel="1" x14ac:dyDescent="0.25">
      <c r="D316" s="41"/>
      <c r="E316" s="41"/>
      <c r="F316" s="41"/>
      <c r="G316" s="41"/>
      <c r="H316" s="41"/>
      <c r="I316" s="41"/>
      <c r="J316" s="41"/>
      <c r="K316" s="41"/>
      <c r="L316" s="41"/>
      <c r="M316" s="41"/>
      <c r="N316" s="41"/>
      <c r="O316" s="41"/>
      <c r="P316" s="41"/>
      <c r="Q316" s="41"/>
      <c r="R316" s="41"/>
      <c r="S316" s="41"/>
      <c r="T316" s="41"/>
      <c r="U316" s="41"/>
      <c r="V316" s="41"/>
      <c r="W316" s="41"/>
      <c r="X316" s="41"/>
    </row>
    <row r="317" spans="1:24" hidden="1" outlineLevel="1" x14ac:dyDescent="0.25">
      <c r="A317" s="95" t="s">
        <v>80</v>
      </c>
      <c r="B317" s="129"/>
      <c r="C317" s="122"/>
      <c r="D317" s="97">
        <f t="shared" ref="D317:X317" si="74">D218-D307</f>
        <v>0</v>
      </c>
      <c r="E317" s="97" t="e">
        <f t="shared" si="74"/>
        <v>#VALUE!</v>
      </c>
      <c r="F317" s="97" t="e">
        <f t="shared" si="74"/>
        <v>#VALUE!</v>
      </c>
      <c r="G317" s="97" t="e">
        <f t="shared" si="74"/>
        <v>#VALUE!</v>
      </c>
      <c r="H317" s="97" t="e">
        <f t="shared" si="74"/>
        <v>#VALUE!</v>
      </c>
      <c r="I317" s="97" t="e">
        <f t="shared" si="74"/>
        <v>#VALUE!</v>
      </c>
      <c r="J317" s="97" t="e">
        <f t="shared" si="74"/>
        <v>#VALUE!</v>
      </c>
      <c r="K317" s="97" t="e">
        <f t="shared" si="74"/>
        <v>#VALUE!</v>
      </c>
      <c r="L317" s="97" t="e">
        <f t="shared" si="74"/>
        <v>#VALUE!</v>
      </c>
      <c r="M317" s="97" t="e">
        <f t="shared" si="74"/>
        <v>#VALUE!</v>
      </c>
      <c r="N317" s="97" t="e">
        <f t="shared" si="74"/>
        <v>#VALUE!</v>
      </c>
      <c r="O317" s="97" t="e">
        <f t="shared" si="74"/>
        <v>#VALUE!</v>
      </c>
      <c r="P317" s="97" t="e">
        <f t="shared" si="74"/>
        <v>#VALUE!</v>
      </c>
      <c r="Q317" s="97" t="e">
        <f t="shared" si="74"/>
        <v>#VALUE!</v>
      </c>
      <c r="R317" s="97" t="e">
        <f t="shared" si="74"/>
        <v>#VALUE!</v>
      </c>
      <c r="S317" s="97" t="e">
        <f t="shared" si="74"/>
        <v>#VALUE!</v>
      </c>
      <c r="T317" s="97" t="e">
        <f t="shared" si="74"/>
        <v>#VALUE!</v>
      </c>
      <c r="U317" s="97" t="e">
        <f t="shared" si="74"/>
        <v>#VALUE!</v>
      </c>
      <c r="V317" s="97" t="e">
        <f t="shared" si="74"/>
        <v>#VALUE!</v>
      </c>
      <c r="W317" s="97" t="e">
        <f t="shared" si="74"/>
        <v>#VALUE!</v>
      </c>
      <c r="X317" s="97" t="e">
        <f t="shared" si="74"/>
        <v>#VALUE!</v>
      </c>
    </row>
    <row r="318" spans="1:24" s="46" customFormat="1" hidden="1" outlineLevel="1" x14ac:dyDescent="0.25">
      <c r="D318" s="47"/>
      <c r="E318" s="47"/>
      <c r="F318" s="47"/>
      <c r="G318" s="47"/>
      <c r="H318" s="47"/>
      <c r="I318" s="47"/>
      <c r="J318" s="47"/>
      <c r="K318" s="47"/>
      <c r="L318" s="47"/>
      <c r="M318" s="47"/>
      <c r="N318" s="47"/>
      <c r="O318" s="47"/>
      <c r="P318" s="47"/>
      <c r="Q318" s="47"/>
      <c r="R318" s="47"/>
      <c r="S318" s="47"/>
      <c r="T318" s="47"/>
      <c r="U318" s="47"/>
      <c r="V318" s="47"/>
      <c r="W318" s="47"/>
      <c r="X318" s="47"/>
    </row>
    <row r="319" spans="1:24" hidden="1" outlineLevel="1" x14ac:dyDescent="0.25">
      <c r="A319" s="45" t="s">
        <v>198</v>
      </c>
      <c r="B319" s="135"/>
      <c r="C319" s="227">
        <v>10</v>
      </c>
      <c r="D319" s="211"/>
      <c r="E319" s="211"/>
      <c r="F319" s="211"/>
      <c r="G319" s="211"/>
      <c r="H319" s="211"/>
      <c r="I319" s="211"/>
      <c r="J319" s="211"/>
      <c r="K319" s="211"/>
      <c r="L319" s="211"/>
      <c r="M319" s="211"/>
      <c r="N319" s="211"/>
      <c r="O319" s="211"/>
      <c r="P319" s="211"/>
      <c r="Q319" s="211"/>
      <c r="R319" s="211"/>
      <c r="S319" s="211"/>
      <c r="T319" s="211"/>
      <c r="U319" s="211"/>
      <c r="V319" s="211"/>
      <c r="W319" s="211"/>
      <c r="X319" s="211"/>
    </row>
    <row r="320" spans="1:24" hidden="1" outlineLevel="1" x14ac:dyDescent="0.25">
      <c r="D320" s="41"/>
      <c r="E320" s="41"/>
      <c r="F320" s="41"/>
      <c r="G320" s="41"/>
      <c r="H320" s="41"/>
      <c r="I320" s="41"/>
      <c r="J320" s="41"/>
      <c r="K320" s="41"/>
      <c r="L320" s="41"/>
      <c r="M320" s="41"/>
      <c r="N320" s="41"/>
      <c r="O320" s="41"/>
      <c r="P320" s="41"/>
      <c r="Q320" s="41"/>
      <c r="R320" s="41"/>
      <c r="S320" s="41"/>
      <c r="T320" s="41"/>
      <c r="U320" s="41"/>
      <c r="V320" s="41"/>
      <c r="W320" s="41"/>
      <c r="X320" s="41"/>
    </row>
    <row r="321" spans="1:24" hidden="1" outlineLevel="1" x14ac:dyDescent="0.25">
      <c r="A321" s="95" t="s">
        <v>79</v>
      </c>
      <c r="B321" s="129"/>
      <c r="C321" s="122"/>
      <c r="D321" s="97">
        <f>D317-D319</f>
        <v>0</v>
      </c>
      <c r="E321" s="97" t="e">
        <f t="shared" ref="E321:X321" si="75">E317-E319</f>
        <v>#VALUE!</v>
      </c>
      <c r="F321" s="97" t="e">
        <f t="shared" si="75"/>
        <v>#VALUE!</v>
      </c>
      <c r="G321" s="97" t="e">
        <f t="shared" si="75"/>
        <v>#VALUE!</v>
      </c>
      <c r="H321" s="97" t="e">
        <f t="shared" si="75"/>
        <v>#VALUE!</v>
      </c>
      <c r="I321" s="97" t="e">
        <f t="shared" si="75"/>
        <v>#VALUE!</v>
      </c>
      <c r="J321" s="97" t="e">
        <f t="shared" si="75"/>
        <v>#VALUE!</v>
      </c>
      <c r="K321" s="97" t="e">
        <f t="shared" si="75"/>
        <v>#VALUE!</v>
      </c>
      <c r="L321" s="97" t="e">
        <f t="shared" si="75"/>
        <v>#VALUE!</v>
      </c>
      <c r="M321" s="97" t="e">
        <f t="shared" si="75"/>
        <v>#VALUE!</v>
      </c>
      <c r="N321" s="97" t="e">
        <f t="shared" si="75"/>
        <v>#VALUE!</v>
      </c>
      <c r="O321" s="97" t="e">
        <f t="shared" si="75"/>
        <v>#VALUE!</v>
      </c>
      <c r="P321" s="97" t="e">
        <f t="shared" si="75"/>
        <v>#VALUE!</v>
      </c>
      <c r="Q321" s="97" t="e">
        <f t="shared" si="75"/>
        <v>#VALUE!</v>
      </c>
      <c r="R321" s="97" t="e">
        <f t="shared" si="75"/>
        <v>#VALUE!</v>
      </c>
      <c r="S321" s="97" t="e">
        <f t="shared" si="75"/>
        <v>#VALUE!</v>
      </c>
      <c r="T321" s="97" t="e">
        <f t="shared" si="75"/>
        <v>#VALUE!</v>
      </c>
      <c r="U321" s="97" t="e">
        <f t="shared" si="75"/>
        <v>#VALUE!</v>
      </c>
      <c r="V321" s="97" t="e">
        <f t="shared" si="75"/>
        <v>#VALUE!</v>
      </c>
      <c r="W321" s="97" t="e">
        <f t="shared" si="75"/>
        <v>#VALUE!</v>
      </c>
      <c r="X321" s="97" t="e">
        <f t="shared" si="75"/>
        <v>#VALUE!</v>
      </c>
    </row>
    <row r="322" spans="1:24" hidden="1" outlineLevel="1" x14ac:dyDescent="0.25">
      <c r="A322" s="45" t="s">
        <v>78</v>
      </c>
      <c r="B322" s="135"/>
      <c r="C322" s="103"/>
      <c r="D322" s="58">
        <f>D321*IF($E$204&lt;&gt;0,$E$204,$G$204)</f>
        <v>0</v>
      </c>
      <c r="E322" s="58" t="e">
        <f t="shared" ref="E322:X322" si="76">E321*IF($E$204&lt;&gt;0,$E$204,$G$204)</f>
        <v>#VALUE!</v>
      </c>
      <c r="F322" s="58" t="e">
        <f t="shared" si="76"/>
        <v>#VALUE!</v>
      </c>
      <c r="G322" s="58" t="e">
        <f t="shared" si="76"/>
        <v>#VALUE!</v>
      </c>
      <c r="H322" s="58" t="e">
        <f t="shared" si="76"/>
        <v>#VALUE!</v>
      </c>
      <c r="I322" s="58" t="e">
        <f t="shared" si="76"/>
        <v>#VALUE!</v>
      </c>
      <c r="J322" s="58" t="e">
        <f t="shared" si="76"/>
        <v>#VALUE!</v>
      </c>
      <c r="K322" s="58" t="e">
        <f t="shared" si="76"/>
        <v>#VALUE!</v>
      </c>
      <c r="L322" s="58" t="e">
        <f t="shared" si="76"/>
        <v>#VALUE!</v>
      </c>
      <c r="M322" s="58" t="e">
        <f t="shared" si="76"/>
        <v>#VALUE!</v>
      </c>
      <c r="N322" s="58" t="e">
        <f t="shared" si="76"/>
        <v>#VALUE!</v>
      </c>
      <c r="O322" s="58" t="e">
        <f t="shared" si="76"/>
        <v>#VALUE!</v>
      </c>
      <c r="P322" s="58" t="e">
        <f t="shared" si="76"/>
        <v>#VALUE!</v>
      </c>
      <c r="Q322" s="58" t="e">
        <f t="shared" si="76"/>
        <v>#VALUE!</v>
      </c>
      <c r="R322" s="58" t="e">
        <f t="shared" si="76"/>
        <v>#VALUE!</v>
      </c>
      <c r="S322" s="58" t="e">
        <f t="shared" si="76"/>
        <v>#VALUE!</v>
      </c>
      <c r="T322" s="58" t="e">
        <f t="shared" si="76"/>
        <v>#VALUE!</v>
      </c>
      <c r="U322" s="58" t="e">
        <f t="shared" si="76"/>
        <v>#VALUE!</v>
      </c>
      <c r="V322" s="58" t="e">
        <f t="shared" si="76"/>
        <v>#VALUE!</v>
      </c>
      <c r="W322" s="58" t="e">
        <f t="shared" si="76"/>
        <v>#VALUE!</v>
      </c>
      <c r="X322" s="58" t="e">
        <f t="shared" si="76"/>
        <v>#VALUE!</v>
      </c>
    </row>
    <row r="323" spans="1:24" hidden="1" outlineLevel="1" x14ac:dyDescent="0.25">
      <c r="D323" s="41"/>
      <c r="E323" s="41"/>
      <c r="F323" s="41"/>
      <c r="G323" s="41"/>
      <c r="H323" s="41"/>
      <c r="I323" s="41"/>
      <c r="J323" s="41"/>
      <c r="K323" s="41"/>
      <c r="L323" s="41"/>
      <c r="M323" s="41"/>
      <c r="N323" s="41"/>
      <c r="O323" s="41"/>
      <c r="P323" s="41"/>
      <c r="Q323" s="41"/>
      <c r="R323" s="41"/>
      <c r="S323" s="41"/>
      <c r="T323" s="41"/>
      <c r="U323" s="41"/>
      <c r="V323" s="41"/>
      <c r="W323" s="41"/>
      <c r="X323" s="41"/>
    </row>
    <row r="324" spans="1:24" hidden="1" outlineLevel="1" x14ac:dyDescent="0.25">
      <c r="A324" s="95" t="s">
        <v>89</v>
      </c>
      <c r="B324" s="129"/>
      <c r="C324" s="122"/>
      <c r="D324" s="97">
        <f>D317-D322-D213</f>
        <v>0</v>
      </c>
      <c r="E324" s="97" t="e">
        <f t="shared" ref="E324:X324" si="77">E317-E322-E213</f>
        <v>#VALUE!</v>
      </c>
      <c r="F324" s="97" t="e">
        <f t="shared" si="77"/>
        <v>#VALUE!</v>
      </c>
      <c r="G324" s="97" t="e">
        <f t="shared" si="77"/>
        <v>#VALUE!</v>
      </c>
      <c r="H324" s="97" t="e">
        <f t="shared" si="77"/>
        <v>#VALUE!</v>
      </c>
      <c r="I324" s="97" t="e">
        <f t="shared" si="77"/>
        <v>#VALUE!</v>
      </c>
      <c r="J324" s="97" t="e">
        <f t="shared" si="77"/>
        <v>#VALUE!</v>
      </c>
      <c r="K324" s="97" t="e">
        <f t="shared" si="77"/>
        <v>#VALUE!</v>
      </c>
      <c r="L324" s="97" t="e">
        <f t="shared" si="77"/>
        <v>#VALUE!</v>
      </c>
      <c r="M324" s="97" t="e">
        <f t="shared" si="77"/>
        <v>#VALUE!</v>
      </c>
      <c r="N324" s="97" t="e">
        <f t="shared" si="77"/>
        <v>#VALUE!</v>
      </c>
      <c r="O324" s="97" t="e">
        <f t="shared" si="77"/>
        <v>#VALUE!</v>
      </c>
      <c r="P324" s="97" t="e">
        <f t="shared" si="77"/>
        <v>#VALUE!</v>
      </c>
      <c r="Q324" s="97" t="e">
        <f t="shared" si="77"/>
        <v>#VALUE!</v>
      </c>
      <c r="R324" s="97" t="e">
        <f t="shared" si="77"/>
        <v>#VALUE!</v>
      </c>
      <c r="S324" s="97" t="e">
        <f t="shared" si="77"/>
        <v>#VALUE!</v>
      </c>
      <c r="T324" s="97" t="e">
        <f t="shared" si="77"/>
        <v>#VALUE!</v>
      </c>
      <c r="U324" s="97" t="e">
        <f t="shared" si="77"/>
        <v>#VALUE!</v>
      </c>
      <c r="V324" s="97" t="e">
        <f t="shared" si="77"/>
        <v>#VALUE!</v>
      </c>
      <c r="W324" s="97" t="e">
        <f t="shared" si="77"/>
        <v>#VALUE!</v>
      </c>
      <c r="X324" s="97" t="e">
        <f t="shared" si="77"/>
        <v>#VALUE!</v>
      </c>
    </row>
    <row r="325" spans="1:24" hidden="1" outlineLevel="1" x14ac:dyDescent="0.25">
      <c r="D325" s="41"/>
      <c r="E325" s="41"/>
      <c r="F325" s="41"/>
      <c r="G325" s="41"/>
      <c r="H325" s="41"/>
      <c r="I325" s="41"/>
      <c r="J325" s="41"/>
      <c r="K325" s="41"/>
      <c r="L325" s="41"/>
      <c r="M325" s="41"/>
      <c r="N325" s="41"/>
      <c r="O325" s="41"/>
      <c r="P325" s="41"/>
      <c r="Q325" s="41"/>
      <c r="R325" s="41"/>
      <c r="S325" s="41"/>
      <c r="T325" s="41"/>
      <c r="U325" s="41"/>
      <c r="V325" s="41"/>
      <c r="W325" s="41"/>
      <c r="X325" s="41"/>
    </row>
    <row r="326" spans="1:24" hidden="1" outlineLevel="1" x14ac:dyDescent="0.25">
      <c r="A326" s="44" t="s">
        <v>77</v>
      </c>
      <c r="B326" s="136"/>
      <c r="C326" s="128"/>
      <c r="D326" s="43" t="e">
        <f>IRR(D324:X324)</f>
        <v>#VALUE!</v>
      </c>
      <c r="E326" s="42"/>
      <c r="F326" s="41"/>
      <c r="G326" s="41"/>
      <c r="H326" s="41"/>
      <c r="I326" s="41"/>
      <c r="J326" s="41"/>
      <c r="K326" s="41"/>
      <c r="L326" s="41"/>
      <c r="M326" s="41"/>
      <c r="N326" s="41"/>
      <c r="O326" s="41"/>
      <c r="P326" s="41"/>
      <c r="Q326" s="41"/>
      <c r="R326" s="41"/>
      <c r="S326" s="41"/>
      <c r="T326" s="41"/>
      <c r="U326" s="41"/>
      <c r="V326" s="41"/>
      <c r="W326" s="41"/>
      <c r="X326" s="41"/>
    </row>
    <row r="327" spans="1:24" collapsed="1" x14ac:dyDescent="0.25">
      <c r="D327" s="41"/>
      <c r="E327" s="41"/>
      <c r="F327" s="41"/>
      <c r="G327" s="41"/>
      <c r="H327" s="41"/>
      <c r="I327" s="41"/>
      <c r="J327" s="41"/>
      <c r="K327" s="41"/>
      <c r="L327" s="41"/>
      <c r="M327" s="41"/>
      <c r="N327" s="41"/>
      <c r="O327" s="41"/>
      <c r="P327" s="41"/>
      <c r="Q327" s="41"/>
      <c r="R327" s="41"/>
      <c r="S327" s="41"/>
      <c r="T327" s="41"/>
      <c r="U327" s="41"/>
      <c r="V327" s="41"/>
      <c r="W327" s="41"/>
      <c r="X327" s="41"/>
    </row>
    <row r="342" spans="4:24" x14ac:dyDescent="0.25">
      <c r="D342" s="145"/>
      <c r="E342" s="145"/>
      <c r="F342" s="145"/>
      <c r="G342" s="145"/>
      <c r="H342" s="145"/>
      <c r="I342" s="145"/>
      <c r="J342" s="145"/>
      <c r="K342" s="145"/>
      <c r="L342" s="145"/>
      <c r="M342" s="145"/>
      <c r="N342" s="145"/>
      <c r="O342" s="145"/>
      <c r="P342" s="145"/>
      <c r="Q342" s="145"/>
      <c r="R342" s="145"/>
      <c r="S342" s="145"/>
      <c r="T342" s="145"/>
      <c r="U342" s="145"/>
      <c r="V342" s="145"/>
      <c r="W342" s="145"/>
      <c r="X342" s="145"/>
    </row>
    <row r="343" spans="4:24" x14ac:dyDescent="0.25">
      <c r="D343" s="145"/>
      <c r="E343" s="145"/>
      <c r="F343" s="145"/>
      <c r="G343" s="145"/>
      <c r="H343" s="145"/>
      <c r="I343" s="145"/>
      <c r="J343" s="145"/>
      <c r="K343" s="145"/>
      <c r="L343" s="145"/>
      <c r="M343" s="145"/>
      <c r="N343" s="145"/>
      <c r="O343" s="145"/>
      <c r="P343" s="145"/>
      <c r="Q343" s="145"/>
      <c r="R343" s="145"/>
      <c r="S343" s="145"/>
      <c r="T343" s="145"/>
      <c r="U343" s="145"/>
      <c r="V343" s="145"/>
      <c r="W343" s="145"/>
      <c r="X343" s="145"/>
    </row>
  </sheetData>
  <sheetProtection formatCells="0" formatColumns="0" formatRows="0" insertColumns="0" insertRows="0" insertHyperlinks="0" deleteColumns="0" deleteRows="0" sort="0" autoFilter="0" pivotTables="0"/>
  <mergeCells count="140">
    <mergeCell ref="E142:F142"/>
    <mergeCell ref="B143:D143"/>
    <mergeCell ref="E143:F143"/>
    <mergeCell ref="A81:A83"/>
    <mergeCell ref="E138:F138"/>
    <mergeCell ref="B139:D139"/>
    <mergeCell ref="E139:F139"/>
    <mergeCell ref="B140:D140"/>
    <mergeCell ref="A118:A119"/>
    <mergeCell ref="A90:A91"/>
    <mergeCell ref="A92:B92"/>
    <mergeCell ref="A104:A105"/>
    <mergeCell ref="A106:A107"/>
    <mergeCell ref="E140:F140"/>
    <mergeCell ref="A84:A86"/>
    <mergeCell ref="A102:A103"/>
    <mergeCell ref="B141:D141"/>
    <mergeCell ref="E141:F141"/>
    <mergeCell ref="D11:E11"/>
    <mergeCell ref="B19:D19"/>
    <mergeCell ref="E13:F13"/>
    <mergeCell ref="E14:F14"/>
    <mergeCell ref="E15:F15"/>
    <mergeCell ref="E16:F16"/>
    <mergeCell ref="E17:F17"/>
    <mergeCell ref="E18:F18"/>
    <mergeCell ref="E19:F19"/>
    <mergeCell ref="B14:D14"/>
    <mergeCell ref="B15:D15"/>
    <mergeCell ref="B16:D16"/>
    <mergeCell ref="B17:D17"/>
    <mergeCell ref="B18:D18"/>
    <mergeCell ref="A39:A41"/>
    <mergeCell ref="A42:A44"/>
    <mergeCell ref="A60:A62"/>
    <mergeCell ref="A63:A65"/>
    <mergeCell ref="A66:A68"/>
    <mergeCell ref="A69:A71"/>
    <mergeCell ref="A72:A74"/>
    <mergeCell ref="A75:A77"/>
    <mergeCell ref="A78:A80"/>
    <mergeCell ref="A51:A53"/>
    <mergeCell ref="A54:A56"/>
    <mergeCell ref="A57:A59"/>
    <mergeCell ref="A220:A222"/>
    <mergeCell ref="A223:A225"/>
    <mergeCell ref="A226:A228"/>
    <mergeCell ref="A229:A231"/>
    <mergeCell ref="A232:A234"/>
    <mergeCell ref="A203:A209"/>
    <mergeCell ref="A120:A121"/>
    <mergeCell ref="A171:A172"/>
    <mergeCell ref="A173:A174"/>
    <mergeCell ref="A175:A176"/>
    <mergeCell ref="A177:A178"/>
    <mergeCell ref="A179:B179"/>
    <mergeCell ref="A183:A184"/>
    <mergeCell ref="B138:D138"/>
    <mergeCell ref="A185:A186"/>
    <mergeCell ref="A155:C155"/>
    <mergeCell ref="A156:C156"/>
    <mergeCell ref="A157:B157"/>
    <mergeCell ref="A163:A164"/>
    <mergeCell ref="A165:A166"/>
    <mergeCell ref="A167:A168"/>
    <mergeCell ref="A169:A170"/>
    <mergeCell ref="B205:D205"/>
    <mergeCell ref="B142:D142"/>
    <mergeCell ref="E205:F205"/>
    <mergeCell ref="B206:D206"/>
    <mergeCell ref="E206:F206"/>
    <mergeCell ref="B207:D207"/>
    <mergeCell ref="E207:F207"/>
    <mergeCell ref="A286:A287"/>
    <mergeCell ref="F7:R9"/>
    <mergeCell ref="A288:A289"/>
    <mergeCell ref="A283:C283"/>
    <mergeCell ref="A235:A237"/>
    <mergeCell ref="A238:A240"/>
    <mergeCell ref="A241:A243"/>
    <mergeCell ref="A244:A246"/>
    <mergeCell ref="B203:D203"/>
    <mergeCell ref="A274:A276"/>
    <mergeCell ref="A277:A279"/>
    <mergeCell ref="A284:A285"/>
    <mergeCell ref="A271:A273"/>
    <mergeCell ref="B204:D204"/>
    <mergeCell ref="E144:F144"/>
    <mergeCell ref="A138:A144"/>
    <mergeCell ref="A98:A99"/>
    <mergeCell ref="A100:A101"/>
    <mergeCell ref="A247:A249"/>
    <mergeCell ref="B5:K5"/>
    <mergeCell ref="B4:D4"/>
    <mergeCell ref="A310:A311"/>
    <mergeCell ref="A312:A313"/>
    <mergeCell ref="A308:A309"/>
    <mergeCell ref="B308:C308"/>
    <mergeCell ref="A290:A291"/>
    <mergeCell ref="A292:A293"/>
    <mergeCell ref="A294:A295"/>
    <mergeCell ref="A296:A297"/>
    <mergeCell ref="A298:A299"/>
    <mergeCell ref="B208:D208"/>
    <mergeCell ref="E208:F208"/>
    <mergeCell ref="B209:D209"/>
    <mergeCell ref="E209:F209"/>
    <mergeCell ref="D136:E136"/>
    <mergeCell ref="D201:E201"/>
    <mergeCell ref="A300:A301"/>
    <mergeCell ref="A302:A303"/>
    <mergeCell ref="A304:B304"/>
    <mergeCell ref="A280:A281"/>
    <mergeCell ref="A282:B282"/>
    <mergeCell ref="E203:F203"/>
    <mergeCell ref="E204:F204"/>
    <mergeCell ref="B3:D3"/>
    <mergeCell ref="A87:A89"/>
    <mergeCell ref="A250:A252"/>
    <mergeCell ref="A253:A255"/>
    <mergeCell ref="A256:A258"/>
    <mergeCell ref="A259:A261"/>
    <mergeCell ref="A262:A264"/>
    <mergeCell ref="A265:A267"/>
    <mergeCell ref="A268:A270"/>
    <mergeCell ref="A159:A160"/>
    <mergeCell ref="A161:A162"/>
    <mergeCell ref="B144:D144"/>
    <mergeCell ref="A13:A19"/>
    <mergeCell ref="B13:D13"/>
    <mergeCell ref="A48:A50"/>
    <mergeCell ref="A108:A109"/>
    <mergeCell ref="A110:A111"/>
    <mergeCell ref="A112:A113"/>
    <mergeCell ref="A94:A95"/>
    <mergeCell ref="A96:A97"/>
    <mergeCell ref="A45:A47"/>
    <mergeCell ref="A30:A32"/>
    <mergeCell ref="A33:A35"/>
    <mergeCell ref="A36:A38"/>
  </mergeCells>
  <dataValidations count="1">
    <dataValidation type="list" allowBlank="1" showInputMessage="1" showErrorMessage="1" sqref="D201:E201 D11:E11 D136:E136" xr:uid="{00000000-0002-0000-0400-000000000000}">
      <formula1>$A$5:$A$7</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theme="7" tint="0.79998168889431442"/>
  </sheetPr>
  <dimension ref="A1:W724"/>
  <sheetViews>
    <sheetView showGridLines="0" zoomScale="80" zoomScaleNormal="80" workbookViewId="0">
      <pane ySplit="1" topLeftCell="A2" activePane="bottomLeft" state="frozen"/>
      <selection pane="bottomLeft" activeCell="A2" sqref="A2"/>
    </sheetView>
  </sheetViews>
  <sheetFormatPr baseColWidth="10" defaultColWidth="9.140625" defaultRowHeight="15" outlineLevelRow="1" x14ac:dyDescent="0.25"/>
  <cols>
    <col min="1" max="1" width="9.140625" style="1"/>
    <col min="2" max="2" width="48.5703125" style="1" customWidth="1"/>
    <col min="3" max="3" width="15.5703125" style="1" customWidth="1"/>
    <col min="4" max="7" width="10" style="1" customWidth="1"/>
    <col min="8" max="8" width="9.140625" style="1" customWidth="1"/>
    <col min="9" max="9" width="29.85546875" style="1" customWidth="1"/>
    <col min="10" max="10" width="15.140625" style="1" customWidth="1"/>
    <col min="11" max="12" width="10" style="1" customWidth="1"/>
    <col min="13" max="13" width="10.42578125" style="1" customWidth="1"/>
    <col min="14" max="16384" width="9.140625" style="1"/>
  </cols>
  <sheetData>
    <row r="1" spans="1:23" s="256" customFormat="1" ht="46.5" customHeight="1" x14ac:dyDescent="0.25">
      <c r="A1" s="267" t="s">
        <v>22</v>
      </c>
      <c r="B1" s="264"/>
      <c r="C1" s="264"/>
      <c r="D1" s="264"/>
      <c r="E1" s="264"/>
      <c r="F1" s="264"/>
      <c r="G1" s="264"/>
      <c r="H1" s="264"/>
      <c r="I1" s="264"/>
      <c r="J1" s="264"/>
      <c r="K1" s="264"/>
      <c r="L1" s="264"/>
      <c r="M1" s="264"/>
      <c r="N1" s="264"/>
      <c r="O1" s="264"/>
      <c r="P1" s="264"/>
      <c r="Q1" s="264"/>
      <c r="R1" s="264"/>
      <c r="S1" s="264"/>
      <c r="T1" s="264"/>
      <c r="U1" s="264"/>
      <c r="V1" s="264"/>
      <c r="W1" s="264"/>
    </row>
    <row r="2" spans="1:23" ht="15" customHeight="1" x14ac:dyDescent="0.25"/>
    <row r="3" spans="1:23" ht="24.75" customHeight="1" x14ac:dyDescent="0.25">
      <c r="B3" s="269" t="s">
        <v>88</v>
      </c>
    </row>
    <row r="4" spans="1:23" ht="15" customHeight="1" x14ac:dyDescent="0.25">
      <c r="B4" s="114" t="s">
        <v>175</v>
      </c>
    </row>
    <row r="5" spans="1:23" ht="15" customHeight="1" x14ac:dyDescent="0.25">
      <c r="B5" s="644" t="s">
        <v>211</v>
      </c>
      <c r="C5" s="644"/>
      <c r="D5" s="644"/>
      <c r="E5" s="644"/>
      <c r="F5" s="644"/>
      <c r="G5" s="644"/>
      <c r="H5" s="644"/>
      <c r="I5" s="644"/>
    </row>
    <row r="6" spans="1:23" ht="15" customHeight="1" thickBot="1" x14ac:dyDescent="0.3"/>
    <row r="7" spans="1:23" ht="15" customHeight="1" x14ac:dyDescent="0.25">
      <c r="B7" s="4" t="s">
        <v>231</v>
      </c>
      <c r="C7" s="1">
        <f>COUNTIF(Hypothèses!C9:C28,"&gt;0")</f>
        <v>0</v>
      </c>
      <c r="I7" s="638" t="s">
        <v>188</v>
      </c>
      <c r="J7" s="564"/>
      <c r="K7" s="564"/>
      <c r="L7" s="640" t="str">
        <f>IF(' BP Infrastructures'!D$11="Oui",' BP Infrastructures'!E13,IF(' BP Infrastructures'!D$201="Oui",' BP Infrastructures'!E203,"Pas de BP distributeur"))</f>
        <v>Pas de BP distributeur</v>
      </c>
      <c r="M7" s="641"/>
      <c r="N7" s="199"/>
    </row>
    <row r="8" spans="1:23" ht="15" customHeight="1" thickBot="1" x14ac:dyDescent="0.3">
      <c r="B8" s="4" t="s">
        <v>232</v>
      </c>
      <c r="C8" s="82" t="str">
        <f>CONCATENATE(SUM(A11,A45,A79,A113,A147,A181,A215,A249,A283,A317,A351,A385,A419,A453,A487,A521,A555,A589,A623,A657),"/",COUNTIF(Hypothèses!C9:C28,"&gt;0"))</f>
        <v>0/0</v>
      </c>
      <c r="I8" s="639" t="s">
        <v>192</v>
      </c>
      <c r="J8" s="560"/>
      <c r="K8" s="560"/>
      <c r="L8" s="642" t="str">
        <f>IF(' BP Infrastructures'!D$11="Oui",' BP Infrastructures'!E19,IF(' BP Infrastructures'!D$201="Oui",' BP Infrastructures'!E209,"Pas de BP distributeur"))</f>
        <v>Pas de BP distributeur</v>
      </c>
      <c r="M8" s="643"/>
      <c r="N8" s="199"/>
    </row>
    <row r="9" spans="1:23" x14ac:dyDescent="0.25">
      <c r="B9" s="4"/>
    </row>
    <row r="10" spans="1:23" s="628" customFormat="1" ht="15" customHeight="1" x14ac:dyDescent="0.3">
      <c r="A10" s="628" t="s">
        <v>71</v>
      </c>
    </row>
    <row r="11" spans="1:23" x14ac:dyDescent="0.25">
      <c r="A11" s="233">
        <f>IF(AND(F31&gt;0,C16&gt;0,IFERROR(K27,0)&gt;0),1,0)</f>
        <v>0</v>
      </c>
      <c r="B11" s="4"/>
    </row>
    <row r="12" spans="1:23" ht="18.75" x14ac:dyDescent="0.3">
      <c r="B12" s="4"/>
      <c r="E12" s="629" t="str">
        <f>IF(Hypothèses!B9&lt;&gt;0,Hypothèses!B9,"")</f>
        <v/>
      </c>
      <c r="F12" s="630"/>
      <c r="G12" s="630"/>
      <c r="H12" s="630"/>
      <c r="I12" s="631"/>
      <c r="O12" s="4"/>
    </row>
    <row r="13" spans="1:23" hidden="1" outlineLevel="1" x14ac:dyDescent="0.25">
      <c r="A13" s="4" t="s">
        <v>54</v>
      </c>
      <c r="B13" s="632" t="s">
        <v>114</v>
      </c>
      <c r="C13" s="632"/>
      <c r="D13" s="632"/>
      <c r="E13" s="633"/>
      <c r="F13" s="634"/>
      <c r="G13" s="634"/>
      <c r="H13" s="634"/>
      <c r="I13" s="635"/>
      <c r="O13" s="4"/>
    </row>
    <row r="14" spans="1:23" hidden="1" outlineLevel="1" x14ac:dyDescent="0.25">
      <c r="O14" s="4"/>
    </row>
    <row r="15" spans="1:23" hidden="1" outlineLevel="1" x14ac:dyDescent="0.25">
      <c r="B15" s="6" t="s">
        <v>13</v>
      </c>
      <c r="C15" s="6"/>
      <c r="D15" s="6"/>
      <c r="E15" s="6"/>
      <c r="F15" s="6"/>
      <c r="G15" s="6"/>
      <c r="I15" s="6" t="s">
        <v>22</v>
      </c>
      <c r="J15" s="6"/>
      <c r="K15" s="6"/>
      <c r="L15" s="6"/>
      <c r="Q15" s="4"/>
    </row>
    <row r="16" spans="1:23" hidden="1" outlineLevel="1" x14ac:dyDescent="0.25">
      <c r="B16" s="7" t="s">
        <v>36</v>
      </c>
      <c r="C16" s="230"/>
      <c r="I16" s="9" t="s">
        <v>15</v>
      </c>
      <c r="J16" s="9" t="s">
        <v>16</v>
      </c>
      <c r="K16" s="9" t="s">
        <v>1</v>
      </c>
      <c r="L16" s="9" t="s">
        <v>4</v>
      </c>
      <c r="Q16" s="4"/>
    </row>
    <row r="17" spans="2:14" hidden="1" outlineLevel="1" x14ac:dyDescent="0.25">
      <c r="B17" s="7" t="s">
        <v>240</v>
      </c>
      <c r="C17" s="231"/>
      <c r="I17" s="11" t="s">
        <v>31</v>
      </c>
      <c r="J17" s="11" t="s">
        <v>2</v>
      </c>
      <c r="K17" s="12" t="e">
        <f>SUM(K18:K20)</f>
        <v>#N/A</v>
      </c>
      <c r="L17" s="12" t="e">
        <f>SUM(L18:L20)</f>
        <v>#N/A</v>
      </c>
    </row>
    <row r="18" spans="2:14" hidden="1" outlineLevel="1" x14ac:dyDescent="0.25">
      <c r="B18" s="7" t="s">
        <v>44</v>
      </c>
      <c r="C18" s="231"/>
      <c r="I18" s="10" t="s">
        <v>3</v>
      </c>
      <c r="J18" s="10" t="s">
        <v>2</v>
      </c>
      <c r="K18" s="59" t="e">
        <f>IF(E29&gt;0,E29,D29)</f>
        <v>#N/A</v>
      </c>
      <c r="L18" s="59" t="e">
        <f>IF(G29&gt;0,G29,F29)</f>
        <v>#N/A</v>
      </c>
      <c r="M18" s="2"/>
    </row>
    <row r="19" spans="2:14" hidden="1" outlineLevel="1" x14ac:dyDescent="0.25">
      <c r="B19" s="7" t="s">
        <v>11</v>
      </c>
      <c r="C19" s="59">
        <f>Hypothèses!C9</f>
        <v>0</v>
      </c>
      <c r="I19" s="7" t="s">
        <v>33</v>
      </c>
      <c r="J19" s="10" t="s">
        <v>2</v>
      </c>
      <c r="K19" s="59">
        <f>-D36</f>
        <v>0</v>
      </c>
      <c r="L19" s="59">
        <f>-F36</f>
        <v>0</v>
      </c>
    </row>
    <row r="20" spans="2:14" hidden="1" outlineLevel="1" x14ac:dyDescent="0.25">
      <c r="B20" s="7" t="s">
        <v>12</v>
      </c>
      <c r="C20" s="59">
        <f>IFERROR(C19/C18,0)</f>
        <v>0</v>
      </c>
      <c r="I20" s="7" t="s">
        <v>20</v>
      </c>
      <c r="J20" s="10" t="s">
        <v>2</v>
      </c>
      <c r="K20" s="59" t="e">
        <f>-D30*K18</f>
        <v>#N/A</v>
      </c>
      <c r="L20" s="59" t="e">
        <f>-F30*L18</f>
        <v>#N/A</v>
      </c>
    </row>
    <row r="21" spans="2:14" hidden="1" outlineLevel="1" x14ac:dyDescent="0.25">
      <c r="B21" s="7" t="s">
        <v>241</v>
      </c>
      <c r="C21" s="231"/>
      <c r="F21"/>
      <c r="G21"/>
      <c r="I21" s="11" t="s">
        <v>30</v>
      </c>
      <c r="J21" s="11" t="s">
        <v>2</v>
      </c>
      <c r="K21" s="12" t="e">
        <f>SUM(K22:K25)</f>
        <v>#N/A</v>
      </c>
      <c r="L21" s="12" t="e">
        <f>SUM(L22:L25)</f>
        <v>#VALUE!</v>
      </c>
    </row>
    <row r="22" spans="2:14" hidden="1" outlineLevel="1" x14ac:dyDescent="0.25">
      <c r="B22" s="7" t="s">
        <v>242</v>
      </c>
      <c r="C22" s="231"/>
      <c r="D22" s="67"/>
      <c r="E22" s="67"/>
      <c r="F22"/>
      <c r="G22"/>
      <c r="I22" s="10" t="s">
        <v>0</v>
      </c>
      <c r="J22" s="10" t="s">
        <v>2</v>
      </c>
      <c r="K22" s="59" t="e">
        <f>C17*D32</f>
        <v>#N/A</v>
      </c>
      <c r="L22" s="59">
        <f>C17*F32</f>
        <v>0</v>
      </c>
      <c r="M22" s="2"/>
    </row>
    <row r="23" spans="2:14" hidden="1" outlineLevel="1" x14ac:dyDescent="0.25">
      <c r="I23" s="7" t="s">
        <v>24</v>
      </c>
      <c r="J23" s="10" t="s">
        <v>2</v>
      </c>
      <c r="K23" s="59" t="e">
        <f>IF(E33&gt;0,E33,D33)*C17</f>
        <v>#N/A</v>
      </c>
      <c r="L23" s="59">
        <f>C17*F33</f>
        <v>0</v>
      </c>
    </row>
    <row r="24" spans="2:14" hidden="1" outlineLevel="1" x14ac:dyDescent="0.25">
      <c r="B24" s="6" t="s">
        <v>14</v>
      </c>
      <c r="C24" s="6"/>
      <c r="D24" s="6"/>
      <c r="E24" s="6"/>
      <c r="F24" s="6"/>
      <c r="G24" s="6"/>
      <c r="I24" s="7" t="s">
        <v>29</v>
      </c>
      <c r="J24" s="10" t="s">
        <v>2</v>
      </c>
      <c r="K24" s="59" t="e">
        <f>$C17*$C19*(1/100)*IF(E27&gt;0,E27,D27)*D42</f>
        <v>#N/A</v>
      </c>
      <c r="L24" s="59" t="e">
        <f>C17*C19*(1/100)*F26*G42+IFERROR(C17*C19*(1/100)*IF(G28&gt;0,G28,F28)*F42,0)</f>
        <v>#VALUE!</v>
      </c>
    </row>
    <row r="25" spans="2:14" hidden="1" outlineLevel="1" x14ac:dyDescent="0.25">
      <c r="B25" s="9" t="s">
        <v>15</v>
      </c>
      <c r="C25" s="9" t="s">
        <v>16</v>
      </c>
      <c r="D25" s="627" t="s">
        <v>1</v>
      </c>
      <c r="E25" s="627"/>
      <c r="F25" s="636" t="s">
        <v>4</v>
      </c>
      <c r="G25" s="636"/>
      <c r="I25" s="7" t="s">
        <v>233</v>
      </c>
      <c r="J25" s="10" t="s">
        <v>2</v>
      </c>
      <c r="K25" s="60">
        <f>IFERROR(C17*D34,0)+D35</f>
        <v>0</v>
      </c>
      <c r="L25" s="60">
        <f>IFERROR(C17*F34,0)+F35</f>
        <v>0</v>
      </c>
    </row>
    <row r="26" spans="2:14" hidden="1" outlineLevel="1" x14ac:dyDescent="0.25">
      <c r="B26" s="7" t="s">
        <v>18</v>
      </c>
      <c r="C26" s="7" t="s">
        <v>5</v>
      </c>
      <c r="D26" s="615" t="s">
        <v>6</v>
      </c>
      <c r="E26" s="616"/>
      <c r="F26" s="617" t="str">
        <f>IF(Hypothèses!G9&gt;0,Hypothèses!G9,Hypothèses!E9)</f>
        <v/>
      </c>
      <c r="G26" s="617"/>
      <c r="I26" s="13" t="s">
        <v>8</v>
      </c>
      <c r="J26" s="14"/>
      <c r="K26" s="15" t="e">
        <f>K17+K21</f>
        <v>#N/A</v>
      </c>
      <c r="L26" s="15" t="e">
        <f>L17+L21</f>
        <v>#N/A</v>
      </c>
    </row>
    <row r="27" spans="2:14" hidden="1" outlineLevel="1" x14ac:dyDescent="0.25">
      <c r="B27" s="7" t="s">
        <v>17</v>
      </c>
      <c r="C27" s="7" t="s">
        <v>32</v>
      </c>
      <c r="D27" s="142" t="e">
        <f>VLOOKUP($E12,Sources!$B$53:$D$62,3,FALSE)</f>
        <v>#N/A</v>
      </c>
      <c r="E27" s="234"/>
      <c r="F27" s="617" t="s">
        <v>6</v>
      </c>
      <c r="G27" s="617"/>
      <c r="I27" s="7" t="s">
        <v>27</v>
      </c>
      <c r="J27" s="10" t="s">
        <v>2</v>
      </c>
      <c r="K27" s="621" t="e">
        <f>L26-K26</f>
        <v>#N/A</v>
      </c>
      <c r="L27" s="621"/>
    </row>
    <row r="28" spans="2:14" hidden="1" outlineLevel="1" x14ac:dyDescent="0.25">
      <c r="B28" s="7" t="s">
        <v>123</v>
      </c>
      <c r="C28" s="7" t="s">
        <v>7</v>
      </c>
      <c r="D28" s="615" t="s">
        <v>6</v>
      </c>
      <c r="E28" s="616"/>
      <c r="F28" s="144" t="e">
        <f>VLOOKUP(E12,Sources!$B$53:$D$62,2,FALSE)</f>
        <v>#N/A</v>
      </c>
      <c r="G28" s="235"/>
      <c r="I28" s="7" t="s">
        <v>27</v>
      </c>
      <c r="J28" s="10" t="s">
        <v>9</v>
      </c>
      <c r="K28" s="622">
        <f>IFERROR(K27/K26,0)</f>
        <v>0</v>
      </c>
      <c r="L28" s="622"/>
    </row>
    <row r="29" spans="2:14" hidden="1" outlineLevel="1" x14ac:dyDescent="0.25">
      <c r="B29" s="8" t="s">
        <v>19</v>
      </c>
      <c r="C29" s="10" t="s">
        <v>2</v>
      </c>
      <c r="D29" s="232" t="e">
        <f>VLOOKUP($E12,Sources!$B$14:$D$23,2,FALSE)</f>
        <v>#N/A</v>
      </c>
      <c r="E29" s="236"/>
      <c r="F29" s="232" t="e">
        <f>VLOOKUP($E12,Sources!$B$14:$D$23,3,FALSE)</f>
        <v>#N/A</v>
      </c>
      <c r="G29" s="236"/>
      <c r="I29" s="7" t="s">
        <v>27</v>
      </c>
      <c r="J29" s="16" t="s">
        <v>28</v>
      </c>
      <c r="K29" s="623">
        <f>IFERROR((L26-K26)/(C17*C19),0)</f>
        <v>0</v>
      </c>
      <c r="L29" s="623"/>
    </row>
    <row r="30" spans="2:14" hidden="1" outlineLevel="1" x14ac:dyDescent="0.25">
      <c r="B30" s="16" t="s">
        <v>20</v>
      </c>
      <c r="C30" s="81" t="s">
        <v>9</v>
      </c>
      <c r="D30" s="624" t="e">
        <f>IF(OR($C17&gt;VLOOKUP($E12,Sources!$B$82:$G$91,6,FALSE),$C17*$C19&gt;VLOOKUP($E12,Sources!$B$96:$G$105,6,FALSE)),0,MIN(VLOOKUP($E12,Sources!$B$82:$F$91,2,FALSE)*$C17^3+VLOOKUP($E12,Sources!$B$82:$F$91,3,FALSE)*$C17^2+VLOOKUP($E12,Sources!$B$82:$F$91,4,FALSE)*$C17+VLOOKUP($E12,Sources!$B$82:$F$91,5,FALSE),VLOOKUP($E12,Sources!$B$96:$F$105,2,FALSE)*($C17*$C19)^3+VLOOKUP($E12,Sources!$B$96:$F$105,3,FALSE)*($C17*$C19)^2+VLOOKUP($E12,Sources!$B$96:$F$105,4,FALSE)*$C17*$C19+VLOOKUP($E12,Sources!$B$96:$F$105,5,FALSE)))</f>
        <v>#N/A</v>
      </c>
      <c r="E30" s="625"/>
      <c r="F30" s="626" t="e">
        <f>IF(OR($C17&gt;VLOOKUP($E12,Sources!$B$82:$G$91,6,FALSE),$C17*$C19&gt;VLOOKUP($E12,Sources!$B$96:$G$105,6,FALSE)),0,(1-Sources!$D$77)*MIN(VLOOKUP($E12,Sources!$B$82:$F$91,2,FALSE)*$C17^3+VLOOKUP($E12,Sources!$B$82:$F$91,3,FALSE)*$C17^2+VLOOKUP($E12,Sources!$B$82:$F$91,4,FALSE)*$C17+VLOOKUP($E12,Sources!$B$82:$F$91,5,FALSE),VLOOKUP($E12,Sources!$B$96:$F$105,2,FALSE)*($C17*$C19)^3+VLOOKUP($E12,Sources!$B$96:$F$105,3,FALSE)*($C17*$C19)^2+VLOOKUP($E12,Sources!$B$96:$F$105,4,FALSE)*$C17*$C19+VLOOKUP($E12,Sources!$B$96:$F$105,5,FALSE)))</f>
        <v>#N/A</v>
      </c>
      <c r="G30" s="626"/>
      <c r="I30"/>
      <c r="K30" s="3"/>
      <c r="M30" s="3"/>
      <c r="N30" s="3"/>
    </row>
    <row r="31" spans="2:14" hidden="1" outlineLevel="1" x14ac:dyDescent="0.25">
      <c r="B31" s="7" t="s">
        <v>0</v>
      </c>
      <c r="C31" s="7" t="s">
        <v>43</v>
      </c>
      <c r="D31" s="143" t="e">
        <f>VLOOKUP($E12,Sources!$B$27:$D$36,2,FALSE)</f>
        <v>#N/A</v>
      </c>
      <c r="E31" s="237"/>
      <c r="F31" s="614"/>
      <c r="G31" s="614"/>
      <c r="I31"/>
      <c r="K31" s="3"/>
      <c r="L31" s="3"/>
      <c r="N31" s="3"/>
    </row>
    <row r="32" spans="2:14" hidden="1" outlineLevel="1" x14ac:dyDescent="0.25">
      <c r="B32" s="10" t="s">
        <v>0</v>
      </c>
      <c r="C32" s="7" t="s">
        <v>34</v>
      </c>
      <c r="D32" s="615" t="e">
        <f>IF(E31&gt;0,E31,D31)*C19</f>
        <v>#N/A</v>
      </c>
      <c r="E32" s="616"/>
      <c r="F32" s="617">
        <f>F31*C19</f>
        <v>0</v>
      </c>
      <c r="G32" s="617"/>
      <c r="I32"/>
      <c r="K32" s="3"/>
      <c r="L32" s="3"/>
      <c r="N32" s="3"/>
    </row>
    <row r="33" spans="1:15" hidden="1" outlineLevel="1" x14ac:dyDescent="0.25">
      <c r="B33" s="7" t="s">
        <v>24</v>
      </c>
      <c r="C33" s="7" t="s">
        <v>34</v>
      </c>
      <c r="D33" s="232" t="e">
        <f>VLOOKUP($E12,Sources!$B$40:$D$49,2,FALSE)</f>
        <v>#N/A</v>
      </c>
      <c r="E33" s="236"/>
      <c r="F33" s="614"/>
      <c r="G33" s="614"/>
      <c r="I33"/>
      <c r="K33" s="3"/>
      <c r="L33" s="3"/>
      <c r="N33" s="3"/>
    </row>
    <row r="34" spans="1:15" hidden="1" outlineLevel="1" x14ac:dyDescent="0.25">
      <c r="B34" s="7" t="s">
        <v>26</v>
      </c>
      <c r="C34" s="7" t="s">
        <v>34</v>
      </c>
      <c r="D34" s="615">
        <v>0</v>
      </c>
      <c r="E34" s="616"/>
      <c r="F34" s="614"/>
      <c r="G34" s="614"/>
      <c r="I34"/>
      <c r="J34"/>
      <c r="K34" s="3"/>
      <c r="L34" s="3"/>
      <c r="N34" s="3"/>
    </row>
    <row r="35" spans="1:15" hidden="1" outlineLevel="1" x14ac:dyDescent="0.25">
      <c r="B35" s="7" t="s">
        <v>209</v>
      </c>
      <c r="C35" s="7" t="s">
        <v>2</v>
      </c>
      <c r="D35" s="618"/>
      <c r="E35" s="619"/>
      <c r="F35" s="614"/>
      <c r="G35" s="614"/>
      <c r="I35"/>
      <c r="J35"/>
      <c r="K35" s="3"/>
      <c r="L35" s="3"/>
      <c r="N35" s="3"/>
    </row>
    <row r="36" spans="1:15" hidden="1" outlineLevel="1" x14ac:dyDescent="0.25">
      <c r="B36" s="7" t="s">
        <v>25</v>
      </c>
      <c r="C36" s="10" t="s">
        <v>2</v>
      </c>
      <c r="D36" s="615">
        <v>0</v>
      </c>
      <c r="E36" s="616"/>
      <c r="F36" s="620">
        <f>C22+C21</f>
        <v>0</v>
      </c>
      <c r="G36" s="620"/>
      <c r="I36"/>
      <c r="J36" s="3"/>
      <c r="K36" s="3"/>
      <c r="L36" s="3"/>
      <c r="N36" s="3"/>
    </row>
    <row r="37" spans="1:15" hidden="1" outlineLevel="1" x14ac:dyDescent="0.25">
      <c r="G37"/>
      <c r="H37" s="3"/>
      <c r="I37" s="3"/>
      <c r="J37" s="3"/>
      <c r="L37" s="3"/>
    </row>
    <row r="38" spans="1:15" hidden="1" outlineLevel="1" x14ac:dyDescent="0.25">
      <c r="H38" s="3"/>
      <c r="I38" s="3"/>
      <c r="J38" s="3"/>
      <c r="L38" s="3"/>
    </row>
    <row r="39" spans="1:15" hidden="1" outlineLevel="1" x14ac:dyDescent="0.25">
      <c r="B39" s="6" t="s">
        <v>10</v>
      </c>
      <c r="C39" s="6"/>
      <c r="D39" s="6"/>
      <c r="E39" s="5"/>
      <c r="F39" s="5"/>
      <c r="G39" s="5"/>
      <c r="I39" s="3"/>
      <c r="J39" s="3"/>
      <c r="L39" s="3"/>
    </row>
    <row r="40" spans="1:15" hidden="1" outlineLevel="1" x14ac:dyDescent="0.25">
      <c r="B40" s="9" t="s">
        <v>15</v>
      </c>
      <c r="C40" s="9" t="s">
        <v>16</v>
      </c>
      <c r="D40" s="627" t="s">
        <v>1</v>
      </c>
      <c r="E40" s="627"/>
      <c r="F40" s="203" t="s">
        <v>21</v>
      </c>
      <c r="G40" s="203" t="s">
        <v>4</v>
      </c>
      <c r="J40" s="3"/>
      <c r="K40" s="3"/>
      <c r="M40" s="3"/>
    </row>
    <row r="41" spans="1:15" hidden="1" outlineLevel="1" x14ac:dyDescent="0.25">
      <c r="B41" s="7" t="s">
        <v>236</v>
      </c>
      <c r="C41" s="7" t="s">
        <v>119</v>
      </c>
      <c r="D41" s="612">
        <f>IF(OR(E12=Sources!$B$14,E12=Sources!$B$15,E12=Sources!$B$23,E12=Sources!$B$24),Sources!$D$4,IF(OR(E12=Sources!$B$16,E12=Sources!$B$17,E12=Sources!$B$18),Sources!$D$6,Sources!$D$7))</f>
        <v>1.367</v>
      </c>
      <c r="E41" s="613"/>
      <c r="F41" s="140">
        <f>Sources!$C$8</f>
        <v>0.24</v>
      </c>
      <c r="J41" s="3"/>
      <c r="K41" s="3"/>
      <c r="M41" s="3"/>
    </row>
    <row r="42" spans="1:15" hidden="1" outlineLevel="1" x14ac:dyDescent="0.25">
      <c r="B42" s="7" t="s">
        <v>35</v>
      </c>
      <c r="C42" s="7" t="s">
        <v>119</v>
      </c>
      <c r="D42" s="612" t="e">
        <f>D41*(1+Sources!C$9)^(C16-2020)*(1-(1+Sources!C$9)^C17)/(-Sources!C$9*C17)</f>
        <v>#DIV/0!</v>
      </c>
      <c r="E42" s="613"/>
      <c r="F42" s="140" t="e">
        <f>Sources!C$8*(1+Sources!C$10)^(C16-2019)*(1-(1+Sources!C$10)^C17)/(-Sources!C$10*C17)</f>
        <v>#DIV/0!</v>
      </c>
      <c r="G42" s="140">
        <f>IFERROR(Hypothèses!H9*(1+L$8)^(C16-L$7)*(1-(1+L$8)^C17)/(-L$8*C17),Hypothèses!H9)</f>
        <v>0</v>
      </c>
      <c r="J42" s="3"/>
      <c r="K42" s="3"/>
      <c r="M42" s="3"/>
    </row>
    <row r="43" spans="1:15" collapsed="1" x14ac:dyDescent="0.25">
      <c r="B43" s="17"/>
      <c r="I43" s="3"/>
      <c r="J43" s="3"/>
      <c r="L43" s="3"/>
    </row>
    <row r="44" spans="1:15" s="628" customFormat="1" ht="18.75" x14ac:dyDescent="0.3">
      <c r="A44" s="628" t="s">
        <v>72</v>
      </c>
    </row>
    <row r="45" spans="1:15" x14ac:dyDescent="0.25">
      <c r="A45" s="233">
        <f>IF(AND(F65&gt;0,C50&gt;0,IFERROR(K61,0)&gt;0),1,0)</f>
        <v>0</v>
      </c>
      <c r="B45" s="4"/>
    </row>
    <row r="46" spans="1:15" ht="18.75" x14ac:dyDescent="0.3">
      <c r="B46" s="4"/>
      <c r="E46" s="637" t="str">
        <f>IF(Hypothèses!B10&lt;&gt;0,Hypothèses!B10,"")</f>
        <v/>
      </c>
      <c r="F46" s="637"/>
      <c r="G46" s="637"/>
      <c r="H46" s="637"/>
      <c r="I46" s="637"/>
      <c r="O46" s="4"/>
    </row>
    <row r="47" spans="1:15" hidden="1" outlineLevel="1" x14ac:dyDescent="0.25">
      <c r="A47" s="4" t="s">
        <v>54</v>
      </c>
      <c r="B47" s="632" t="str">
        <f>B$13</f>
        <v>Modèle du véhicule (constructeur, nom commercial) :</v>
      </c>
      <c r="C47" s="632"/>
      <c r="D47" s="632"/>
      <c r="E47" s="614"/>
      <c r="F47" s="614"/>
      <c r="G47" s="614"/>
      <c r="H47" s="614"/>
      <c r="I47" s="614"/>
      <c r="O47" s="4"/>
    </row>
    <row r="48" spans="1:15" hidden="1" outlineLevel="1" x14ac:dyDescent="0.25">
      <c r="O48" s="4"/>
    </row>
    <row r="49" spans="2:17" hidden="1" outlineLevel="1" x14ac:dyDescent="0.25">
      <c r="B49" s="6" t="s">
        <v>13</v>
      </c>
      <c r="C49" s="6"/>
      <c r="D49" s="6"/>
      <c r="E49" s="6"/>
      <c r="F49" s="6"/>
      <c r="G49" s="6"/>
      <c r="I49" s="6" t="s">
        <v>22</v>
      </c>
      <c r="J49" s="6"/>
      <c r="K49" s="6"/>
      <c r="L49" s="6"/>
      <c r="Q49" s="4"/>
    </row>
    <row r="50" spans="2:17" hidden="1" outlineLevel="1" x14ac:dyDescent="0.25">
      <c r="B50" s="7" t="s">
        <v>36</v>
      </c>
      <c r="C50" s="230"/>
      <c r="I50" s="9" t="s">
        <v>15</v>
      </c>
      <c r="J50" s="9" t="s">
        <v>16</v>
      </c>
      <c r="K50" s="9" t="s">
        <v>1</v>
      </c>
      <c r="L50" s="9" t="s">
        <v>4</v>
      </c>
      <c r="Q50" s="4"/>
    </row>
    <row r="51" spans="2:17" hidden="1" outlineLevel="1" x14ac:dyDescent="0.25">
      <c r="B51" s="7" t="s">
        <v>240</v>
      </c>
      <c r="C51" s="231"/>
      <c r="I51" s="11" t="s">
        <v>31</v>
      </c>
      <c r="J51" s="11" t="s">
        <v>2</v>
      </c>
      <c r="K51" s="12" t="e">
        <f>SUM(K52:K54)</f>
        <v>#N/A</v>
      </c>
      <c r="L51" s="12" t="e">
        <f>SUM(L52:L54)</f>
        <v>#N/A</v>
      </c>
    </row>
    <row r="52" spans="2:17" hidden="1" outlineLevel="1" x14ac:dyDescent="0.25">
      <c r="B52" s="7" t="s">
        <v>44</v>
      </c>
      <c r="C52" s="231"/>
      <c r="I52" s="10" t="s">
        <v>3</v>
      </c>
      <c r="J52" s="10" t="s">
        <v>2</v>
      </c>
      <c r="K52" s="59" t="e">
        <f>IF(E63&gt;0,E63,D63)</f>
        <v>#N/A</v>
      </c>
      <c r="L52" s="59" t="e">
        <f>IF(G63&gt;0,G63,F63)</f>
        <v>#N/A</v>
      </c>
      <c r="M52" s="2"/>
    </row>
    <row r="53" spans="2:17" hidden="1" outlineLevel="1" x14ac:dyDescent="0.25">
      <c r="B53" s="7" t="s">
        <v>11</v>
      </c>
      <c r="C53" s="59">
        <f>Hypothèses!C10</f>
        <v>0</v>
      </c>
      <c r="I53" s="7" t="s">
        <v>33</v>
      </c>
      <c r="J53" s="10" t="s">
        <v>2</v>
      </c>
      <c r="K53" s="59">
        <f>-D70</f>
        <v>0</v>
      </c>
      <c r="L53" s="59">
        <f>-F70</f>
        <v>0</v>
      </c>
    </row>
    <row r="54" spans="2:17" hidden="1" outlineLevel="1" x14ac:dyDescent="0.25">
      <c r="B54" s="7" t="s">
        <v>12</v>
      </c>
      <c r="C54" s="59">
        <f>IFERROR(C53/C52,0)</f>
        <v>0</v>
      </c>
      <c r="I54" s="7" t="s">
        <v>20</v>
      </c>
      <c r="J54" s="10" t="s">
        <v>2</v>
      </c>
      <c r="K54" s="59" t="e">
        <f>-D64*K52</f>
        <v>#N/A</v>
      </c>
      <c r="L54" s="59" t="e">
        <f>-F64*L52</f>
        <v>#N/A</v>
      </c>
    </row>
    <row r="55" spans="2:17" hidden="1" outlineLevel="1" x14ac:dyDescent="0.25">
      <c r="B55" s="7" t="s">
        <v>241</v>
      </c>
      <c r="C55" s="231"/>
      <c r="F55"/>
      <c r="G55"/>
      <c r="I55" s="11" t="s">
        <v>30</v>
      </c>
      <c r="J55" s="11" t="s">
        <v>2</v>
      </c>
      <c r="K55" s="12" t="e">
        <f>SUM(K56:K59)</f>
        <v>#N/A</v>
      </c>
      <c r="L55" s="12" t="e">
        <f>SUM(L56:L59)</f>
        <v>#VALUE!</v>
      </c>
    </row>
    <row r="56" spans="2:17" hidden="1" outlineLevel="1" x14ac:dyDescent="0.25">
      <c r="B56" s="7" t="s">
        <v>242</v>
      </c>
      <c r="C56" s="231"/>
      <c r="D56" s="67"/>
      <c r="E56" s="67"/>
      <c r="F56"/>
      <c r="G56"/>
      <c r="I56" s="10" t="s">
        <v>0</v>
      </c>
      <c r="J56" s="10" t="s">
        <v>2</v>
      </c>
      <c r="K56" s="59" t="e">
        <f>C51*D66</f>
        <v>#N/A</v>
      </c>
      <c r="L56" s="59">
        <f>C51*F66</f>
        <v>0</v>
      </c>
      <c r="M56" s="2"/>
    </row>
    <row r="57" spans="2:17" hidden="1" outlineLevel="1" x14ac:dyDescent="0.25">
      <c r="I57" s="7" t="s">
        <v>24</v>
      </c>
      <c r="J57" s="10" t="s">
        <v>2</v>
      </c>
      <c r="K57" s="59" t="e">
        <f>IF(E67&gt;0,E67,D67)*C51</f>
        <v>#N/A</v>
      </c>
      <c r="L57" s="59">
        <f>C51*F67</f>
        <v>0</v>
      </c>
    </row>
    <row r="58" spans="2:17" hidden="1" outlineLevel="1" x14ac:dyDescent="0.25">
      <c r="B58" s="6" t="s">
        <v>14</v>
      </c>
      <c r="C58" s="6"/>
      <c r="D58" s="6"/>
      <c r="E58" s="6"/>
      <c r="F58" s="6"/>
      <c r="G58" s="6"/>
      <c r="I58" s="7" t="s">
        <v>29</v>
      </c>
      <c r="J58" s="10" t="s">
        <v>2</v>
      </c>
      <c r="K58" s="59" t="e">
        <f>$C51*$C53*(1/100)*IF(E61&gt;0,E61,D61)*D76</f>
        <v>#N/A</v>
      </c>
      <c r="L58" s="59" t="e">
        <f>C51*C53*(1/100)*F60*G76+IFERROR(C51*C53*(1/100)*IF(G62&gt;0,G62,F62)*F76,0)</f>
        <v>#VALUE!</v>
      </c>
    </row>
    <row r="59" spans="2:17" hidden="1" outlineLevel="1" x14ac:dyDescent="0.25">
      <c r="B59" s="9" t="s">
        <v>15</v>
      </c>
      <c r="C59" s="9" t="s">
        <v>16</v>
      </c>
      <c r="D59" s="627" t="s">
        <v>1</v>
      </c>
      <c r="E59" s="627"/>
      <c r="F59" s="636" t="s">
        <v>4</v>
      </c>
      <c r="G59" s="636"/>
      <c r="I59" s="7" t="s">
        <v>23</v>
      </c>
      <c r="J59" s="10" t="s">
        <v>2</v>
      </c>
      <c r="K59" s="60">
        <f>IFERROR(C51*D68,0)+D69</f>
        <v>0</v>
      </c>
      <c r="L59" s="60">
        <f>IFERROR(C51*F68,0)+F69</f>
        <v>0</v>
      </c>
    </row>
    <row r="60" spans="2:17" hidden="1" outlineLevel="1" x14ac:dyDescent="0.25">
      <c r="B60" s="7" t="s">
        <v>18</v>
      </c>
      <c r="C60" s="7" t="s">
        <v>5</v>
      </c>
      <c r="D60" s="615" t="s">
        <v>6</v>
      </c>
      <c r="E60" s="616"/>
      <c r="F60" s="617" t="str">
        <f>IF(Hypothèses!G10&gt;0,Hypothèses!G10,Hypothèses!E10)</f>
        <v/>
      </c>
      <c r="G60" s="617"/>
      <c r="I60" s="13" t="s">
        <v>8</v>
      </c>
      <c r="J60" s="14"/>
      <c r="K60" s="15" t="e">
        <f>K51+K55</f>
        <v>#N/A</v>
      </c>
      <c r="L60" s="15" t="e">
        <f t="shared" ref="L60" si="0">L51+L55</f>
        <v>#N/A</v>
      </c>
    </row>
    <row r="61" spans="2:17" hidden="1" outlineLevel="1" x14ac:dyDescent="0.25">
      <c r="B61" s="7" t="s">
        <v>17</v>
      </c>
      <c r="C61" s="7" t="s">
        <v>32</v>
      </c>
      <c r="D61" s="142" t="e">
        <f>VLOOKUP($E46,Sources!$B$53:$D$62,3,FALSE)</f>
        <v>#N/A</v>
      </c>
      <c r="E61" s="234"/>
      <c r="F61" s="617" t="s">
        <v>6</v>
      </c>
      <c r="G61" s="617"/>
      <c r="I61" s="7" t="s">
        <v>27</v>
      </c>
      <c r="J61" s="10" t="s">
        <v>2</v>
      </c>
      <c r="K61" s="621" t="e">
        <f>L60-K60</f>
        <v>#N/A</v>
      </c>
      <c r="L61" s="621"/>
    </row>
    <row r="62" spans="2:17" hidden="1" outlineLevel="1" x14ac:dyDescent="0.25">
      <c r="B62" s="7" t="s">
        <v>123</v>
      </c>
      <c r="C62" s="7" t="s">
        <v>7</v>
      </c>
      <c r="D62" s="615" t="s">
        <v>6</v>
      </c>
      <c r="E62" s="616"/>
      <c r="F62" s="144" t="e">
        <f>IF(E46=Sources!$B$53,15.5-F60*0.35*33.3,VLOOKUP(E46,Sources!$B$53:$D$62,2,FALSE))</f>
        <v>#N/A</v>
      </c>
      <c r="G62" s="235"/>
      <c r="I62" s="7" t="s">
        <v>27</v>
      </c>
      <c r="J62" s="10" t="s">
        <v>9</v>
      </c>
      <c r="K62" s="622">
        <f>IFERROR(K61/K60,0)</f>
        <v>0</v>
      </c>
      <c r="L62" s="622"/>
    </row>
    <row r="63" spans="2:17" hidden="1" outlineLevel="1" x14ac:dyDescent="0.25">
      <c r="B63" s="8" t="s">
        <v>19</v>
      </c>
      <c r="C63" s="10" t="s">
        <v>2</v>
      </c>
      <c r="D63" s="232" t="e">
        <f>VLOOKUP($E46,Sources!$B$14:$D$23,2,FALSE)</f>
        <v>#N/A</v>
      </c>
      <c r="E63" s="236"/>
      <c r="F63" s="232" t="e">
        <f>VLOOKUP($E46,Sources!$B$14:$D$23,3,FALSE)</f>
        <v>#N/A</v>
      </c>
      <c r="G63" s="236"/>
      <c r="I63" s="7" t="s">
        <v>27</v>
      </c>
      <c r="J63" s="16" t="s">
        <v>28</v>
      </c>
      <c r="K63" s="623">
        <f>IFERROR((L60-K60)/(C51*C53),0)</f>
        <v>0</v>
      </c>
      <c r="L63" s="623"/>
    </row>
    <row r="64" spans="2:17" hidden="1" outlineLevel="1" x14ac:dyDescent="0.25">
      <c r="B64" s="7" t="s">
        <v>20</v>
      </c>
      <c r="C64" s="81" t="s">
        <v>9</v>
      </c>
      <c r="D64" s="624" t="e">
        <f>IF(OR($C51&gt;VLOOKUP($E46,Sources!$B$82:$G$91,6,FALSE),$C51*$C53&gt;VLOOKUP($E46,Sources!$B$96:$G$105,6,FALSE)),0,MIN(VLOOKUP($E46,Sources!$B$82:$F$91,2,FALSE)*$C51^3+VLOOKUP($E46,Sources!$B$82:$F$91,3,FALSE)*$C51^2+VLOOKUP($E46,Sources!$B$82:$F$91,4,FALSE)*$C51+VLOOKUP($E46,Sources!$B$82:$F$91,5,FALSE),VLOOKUP($E46,Sources!$B$96:$F$105,2,FALSE)*($C51*$C53)^3+VLOOKUP($E46,Sources!$B$96:$F$105,3,FALSE)*($C51*$C53)^2+VLOOKUP($E46,Sources!$B$96:$F$105,4,FALSE)*$C51*$C53+VLOOKUP($E46,Sources!$B$96:$F$105,5,FALSE)))</f>
        <v>#N/A</v>
      </c>
      <c r="E64" s="625"/>
      <c r="F64" s="626" t="e">
        <f>IF(OR($C51&gt;VLOOKUP($E46,Sources!$B$82:$G$91,6,FALSE),$C51*$C53&gt;VLOOKUP($E46,Sources!$B$96:$G$105,6,FALSE)),0,(1-Sources!$D$77)*MIN(VLOOKUP($E46,Sources!$B$82:$F$91,2,FALSE)*$C51^3+VLOOKUP($E46,Sources!$B$82:$F$91,3,FALSE)*$C51^2+VLOOKUP($E46,Sources!$B$82:$F$91,4,FALSE)*$C51+VLOOKUP($E46,Sources!$B$82:$F$91,5,FALSE),VLOOKUP($E46,Sources!$B$96:$F$105,2,FALSE)*($C51*$C53)^3+VLOOKUP($E46,Sources!$B$96:$F$105,3,FALSE)*($C51*$C53)^2+VLOOKUP($E46,Sources!$B$96:$F$105,4,FALSE)*$C51*$C53+VLOOKUP($E46,Sources!$B$96:$F$105,5,FALSE)))</f>
        <v>#N/A</v>
      </c>
      <c r="G64" s="626"/>
      <c r="I64"/>
      <c r="K64" s="3"/>
      <c r="M64" s="3"/>
      <c r="N64" s="3"/>
    </row>
    <row r="65" spans="1:15" hidden="1" outlineLevel="1" x14ac:dyDescent="0.25">
      <c r="B65" s="10" t="s">
        <v>0</v>
      </c>
      <c r="C65" s="7" t="s">
        <v>43</v>
      </c>
      <c r="D65" s="143" t="e">
        <f>VLOOKUP($E46,Sources!$B$27:$D$36,2,FALSE)</f>
        <v>#N/A</v>
      </c>
      <c r="E65" s="237"/>
      <c r="F65" s="614"/>
      <c r="G65" s="614"/>
      <c r="I65"/>
      <c r="K65" s="3"/>
      <c r="L65" s="3"/>
      <c r="N65" s="3"/>
    </row>
    <row r="66" spans="1:15" hidden="1" outlineLevel="1" x14ac:dyDescent="0.25">
      <c r="B66" s="10" t="s">
        <v>0</v>
      </c>
      <c r="C66" s="7" t="s">
        <v>34</v>
      </c>
      <c r="D66" s="615" t="e">
        <f>IF(E65&gt;0,E65,D65)*C53</f>
        <v>#N/A</v>
      </c>
      <c r="E66" s="616"/>
      <c r="F66" s="617">
        <f>F65*C53</f>
        <v>0</v>
      </c>
      <c r="G66" s="617"/>
      <c r="I66"/>
      <c r="K66" s="3"/>
      <c r="L66" s="3"/>
      <c r="N66" s="3"/>
    </row>
    <row r="67" spans="1:15" hidden="1" outlineLevel="1" x14ac:dyDescent="0.25">
      <c r="B67" s="7" t="s">
        <v>24</v>
      </c>
      <c r="C67" s="7" t="s">
        <v>34</v>
      </c>
      <c r="D67" s="232" t="e">
        <f>VLOOKUP($E46,Sources!$B$40:$D$49,2,FALSE)</f>
        <v>#N/A</v>
      </c>
      <c r="E67" s="236"/>
      <c r="F67" s="614"/>
      <c r="G67" s="614"/>
      <c r="I67"/>
      <c r="K67" s="3"/>
      <c r="L67" s="3"/>
      <c r="N67" s="3"/>
    </row>
    <row r="68" spans="1:15" hidden="1" outlineLevel="1" x14ac:dyDescent="0.25">
      <c r="B68" s="7" t="s">
        <v>26</v>
      </c>
      <c r="C68" s="7" t="s">
        <v>34</v>
      </c>
      <c r="D68" s="615">
        <v>0</v>
      </c>
      <c r="E68" s="616"/>
      <c r="F68" s="614"/>
      <c r="G68" s="614"/>
      <c r="I68"/>
      <c r="J68"/>
      <c r="K68" s="3"/>
      <c r="L68" s="3"/>
      <c r="N68" s="3"/>
    </row>
    <row r="69" spans="1:15" hidden="1" outlineLevel="1" x14ac:dyDescent="0.25">
      <c r="B69" s="7" t="s">
        <v>209</v>
      </c>
      <c r="C69" s="7" t="s">
        <v>2</v>
      </c>
      <c r="D69" s="618"/>
      <c r="E69" s="619"/>
      <c r="F69" s="614"/>
      <c r="G69" s="614"/>
      <c r="I69"/>
      <c r="J69"/>
      <c r="K69" s="3"/>
      <c r="L69" s="3"/>
      <c r="N69" s="3"/>
    </row>
    <row r="70" spans="1:15" hidden="1" outlineLevel="1" x14ac:dyDescent="0.25">
      <c r="B70" s="7" t="s">
        <v>25</v>
      </c>
      <c r="C70" s="10" t="s">
        <v>2</v>
      </c>
      <c r="D70" s="615">
        <v>0</v>
      </c>
      <c r="E70" s="616"/>
      <c r="F70" s="620">
        <f>C56+C55</f>
        <v>0</v>
      </c>
      <c r="G70" s="620"/>
      <c r="I70"/>
      <c r="J70" s="3"/>
      <c r="K70" s="3"/>
      <c r="L70" s="3"/>
      <c r="N70" s="3"/>
    </row>
    <row r="71" spans="1:15" hidden="1" outlineLevel="1" x14ac:dyDescent="0.25">
      <c r="H71"/>
      <c r="I71" s="3"/>
      <c r="J71" s="3"/>
      <c r="K71" s="3"/>
      <c r="M71" s="3"/>
    </row>
    <row r="72" spans="1:15" hidden="1" outlineLevel="1" x14ac:dyDescent="0.25">
      <c r="I72" s="3"/>
      <c r="J72" s="3"/>
      <c r="K72" s="3"/>
      <c r="M72" s="3"/>
    </row>
    <row r="73" spans="1:15" hidden="1" outlineLevel="1" x14ac:dyDescent="0.25">
      <c r="B73" s="6" t="s">
        <v>10</v>
      </c>
      <c r="C73" s="6"/>
      <c r="D73" s="6"/>
      <c r="E73" s="6"/>
      <c r="F73" s="5"/>
      <c r="G73" s="5"/>
      <c r="H73"/>
      <c r="J73" s="3"/>
      <c r="K73" s="3"/>
      <c r="M73" s="3"/>
    </row>
    <row r="74" spans="1:15" hidden="1" outlineLevel="1" x14ac:dyDescent="0.25">
      <c r="B74" s="9" t="s">
        <v>15</v>
      </c>
      <c r="C74" s="9" t="s">
        <v>16</v>
      </c>
      <c r="D74" s="627" t="s">
        <v>1</v>
      </c>
      <c r="E74" s="627"/>
      <c r="F74" s="203" t="s">
        <v>21</v>
      </c>
      <c r="G74" s="203" t="s">
        <v>4</v>
      </c>
      <c r="J74" s="3"/>
      <c r="K74" s="3"/>
      <c r="M74" s="3"/>
    </row>
    <row r="75" spans="1:15" hidden="1" outlineLevel="1" x14ac:dyDescent="0.25">
      <c r="B75" s="7" t="s">
        <v>236</v>
      </c>
      <c r="C75" s="7" t="s">
        <v>119</v>
      </c>
      <c r="D75" s="612">
        <f>IF(OR(E46=Sources!$B$14,E46=Sources!$B$15,E46=Sources!$B$23,E46=Sources!$B$24),Sources!$D$4,IF(OR(E46=Sources!$B$16,E46=Sources!$B$17,E46=Sources!$B$18),Sources!$D$6,Sources!$D$7))</f>
        <v>1.367</v>
      </c>
      <c r="E75" s="613"/>
      <c r="F75" s="140">
        <f>Sources!$C$8</f>
        <v>0.24</v>
      </c>
      <c r="J75" s="3"/>
      <c r="K75" s="3"/>
      <c r="M75" s="3"/>
    </row>
    <row r="76" spans="1:15" hidden="1" outlineLevel="1" x14ac:dyDescent="0.25">
      <c r="B76" s="7" t="s">
        <v>35</v>
      </c>
      <c r="C76" s="7" t="s">
        <v>119</v>
      </c>
      <c r="D76" s="612" t="e">
        <f>D75*(1+Sources!C$9)^(C50-2020)*(1-(1+Sources!C$9)^C51)/(-Sources!C$9*C51)</f>
        <v>#DIV/0!</v>
      </c>
      <c r="E76" s="613"/>
      <c r="F76" s="140" t="e">
        <f>Sources!C$8*(1+Sources!C$10)^(C50-2019)*(1-(1+Sources!C$10)^C51)/(-Sources!C$10*C51)</f>
        <v>#DIV/0!</v>
      </c>
      <c r="G76" s="140">
        <f>IFERROR(Hypothèses!H10*(1+L$8)^(C50-L$7)*(1-(1+L$8)^C51)/(-L$8*C51),Hypothèses!H10)</f>
        <v>0</v>
      </c>
      <c r="J76" s="3"/>
      <c r="K76" s="3"/>
      <c r="M76" s="3"/>
    </row>
    <row r="77" spans="1:15" collapsed="1" x14ac:dyDescent="0.25">
      <c r="B77" s="17"/>
      <c r="I77" s="3"/>
      <c r="J77" s="3"/>
      <c r="L77" s="3"/>
    </row>
    <row r="78" spans="1:15" s="628" customFormat="1" ht="18.75" x14ac:dyDescent="0.3">
      <c r="A78" s="628" t="s">
        <v>55</v>
      </c>
    </row>
    <row r="79" spans="1:15" x14ac:dyDescent="0.25">
      <c r="A79" s="233">
        <f>IF(AND(F99&gt;0,C84&gt;0,IFERROR(K95,0)&gt;0),1,0)</f>
        <v>0</v>
      </c>
      <c r="B79" s="4"/>
    </row>
    <row r="80" spans="1:15" ht="18.75" x14ac:dyDescent="0.3">
      <c r="B80" s="4"/>
      <c r="E80" s="637" t="str">
        <f>IF(Hypothèses!B11&lt;&gt;0,Hypothèses!B11,"")</f>
        <v/>
      </c>
      <c r="F80" s="637"/>
      <c r="G80" s="637"/>
      <c r="H80" s="637"/>
      <c r="I80" s="637"/>
      <c r="O80" s="4"/>
    </row>
    <row r="81" spans="1:17" hidden="1" outlineLevel="1" x14ac:dyDescent="0.25">
      <c r="A81" s="4" t="s">
        <v>54</v>
      </c>
      <c r="B81" s="632" t="str">
        <f>B$13</f>
        <v>Modèle du véhicule (constructeur, nom commercial) :</v>
      </c>
      <c r="C81" s="632"/>
      <c r="D81" s="632"/>
      <c r="E81" s="614"/>
      <c r="F81" s="614"/>
      <c r="G81" s="614"/>
      <c r="H81" s="614"/>
      <c r="I81" s="614"/>
      <c r="O81" s="4"/>
    </row>
    <row r="82" spans="1:17" hidden="1" outlineLevel="1" x14ac:dyDescent="0.25">
      <c r="O82" s="4"/>
    </row>
    <row r="83" spans="1:17" hidden="1" outlineLevel="1" x14ac:dyDescent="0.25">
      <c r="B83" s="6" t="s">
        <v>13</v>
      </c>
      <c r="C83" s="6"/>
      <c r="D83" s="6"/>
      <c r="E83" s="6"/>
      <c r="F83" s="6"/>
      <c r="G83" s="6"/>
      <c r="I83" s="6" t="s">
        <v>22</v>
      </c>
      <c r="J83" s="6"/>
      <c r="K83" s="6"/>
      <c r="L83" s="6"/>
      <c r="Q83" s="4"/>
    </row>
    <row r="84" spans="1:17" hidden="1" outlineLevel="1" x14ac:dyDescent="0.25">
      <c r="B84" s="7" t="s">
        <v>36</v>
      </c>
      <c r="C84" s="230"/>
      <c r="I84" s="9" t="s">
        <v>15</v>
      </c>
      <c r="J84" s="9" t="s">
        <v>16</v>
      </c>
      <c r="K84" s="9" t="s">
        <v>1</v>
      </c>
      <c r="L84" s="9" t="s">
        <v>4</v>
      </c>
      <c r="Q84" s="4"/>
    </row>
    <row r="85" spans="1:17" hidden="1" outlineLevel="1" x14ac:dyDescent="0.25">
      <c r="B85" s="7" t="s">
        <v>240</v>
      </c>
      <c r="C85" s="231"/>
      <c r="I85" s="11" t="s">
        <v>31</v>
      </c>
      <c r="J85" s="11" t="s">
        <v>2</v>
      </c>
      <c r="K85" s="12" t="e">
        <f>SUM(K86:K88)</f>
        <v>#N/A</v>
      </c>
      <c r="L85" s="12" t="e">
        <f>SUM(L86:L88)</f>
        <v>#N/A</v>
      </c>
    </row>
    <row r="86" spans="1:17" hidden="1" outlineLevel="1" x14ac:dyDescent="0.25">
      <c r="B86" s="7" t="s">
        <v>44</v>
      </c>
      <c r="C86" s="231"/>
      <c r="I86" s="10" t="s">
        <v>3</v>
      </c>
      <c r="J86" s="10" t="s">
        <v>2</v>
      </c>
      <c r="K86" s="59" t="e">
        <f>IF(E97&gt;0,E97,D97)</f>
        <v>#N/A</v>
      </c>
      <c r="L86" s="59" t="e">
        <f>IF(G97&gt;0,G97,F97)</f>
        <v>#N/A</v>
      </c>
      <c r="M86" s="2"/>
    </row>
    <row r="87" spans="1:17" hidden="1" outlineLevel="1" x14ac:dyDescent="0.25">
      <c r="B87" s="7" t="s">
        <v>11</v>
      </c>
      <c r="C87" s="59">
        <f>Hypothèses!C11</f>
        <v>0</v>
      </c>
      <c r="I87" s="7" t="s">
        <v>33</v>
      </c>
      <c r="J87" s="10" t="s">
        <v>2</v>
      </c>
      <c r="K87" s="59">
        <f>-D104</f>
        <v>0</v>
      </c>
      <c r="L87" s="59">
        <f>-F104</f>
        <v>0</v>
      </c>
    </row>
    <row r="88" spans="1:17" hidden="1" outlineLevel="1" x14ac:dyDescent="0.25">
      <c r="B88" s="7" t="s">
        <v>12</v>
      </c>
      <c r="C88" s="59">
        <f>IFERROR(C87/C86,0)</f>
        <v>0</v>
      </c>
      <c r="I88" s="7" t="s">
        <v>20</v>
      </c>
      <c r="J88" s="10" t="s">
        <v>2</v>
      </c>
      <c r="K88" s="59" t="e">
        <f>-D98*K86</f>
        <v>#N/A</v>
      </c>
      <c r="L88" s="59" t="e">
        <f>-F98*L86</f>
        <v>#N/A</v>
      </c>
    </row>
    <row r="89" spans="1:17" hidden="1" outlineLevel="1" x14ac:dyDescent="0.25">
      <c r="B89" s="7" t="s">
        <v>241</v>
      </c>
      <c r="C89" s="231"/>
      <c r="F89"/>
      <c r="G89"/>
      <c r="I89" s="11" t="s">
        <v>30</v>
      </c>
      <c r="J89" s="11" t="s">
        <v>2</v>
      </c>
      <c r="K89" s="12" t="e">
        <f>SUM(K90:K93)</f>
        <v>#N/A</v>
      </c>
      <c r="L89" s="12" t="e">
        <f>SUM(L90:L93)</f>
        <v>#VALUE!</v>
      </c>
    </row>
    <row r="90" spans="1:17" hidden="1" outlineLevel="1" x14ac:dyDescent="0.25">
      <c r="B90" s="7" t="s">
        <v>242</v>
      </c>
      <c r="C90" s="231"/>
      <c r="F90"/>
      <c r="G90"/>
      <c r="I90" s="10" t="s">
        <v>0</v>
      </c>
      <c r="J90" s="10" t="s">
        <v>2</v>
      </c>
      <c r="K90" s="59" t="e">
        <f>C85*D100</f>
        <v>#N/A</v>
      </c>
      <c r="L90" s="59">
        <f>C85*F100</f>
        <v>0</v>
      </c>
      <c r="M90" s="2"/>
    </row>
    <row r="91" spans="1:17" hidden="1" outlineLevel="1" x14ac:dyDescent="0.25">
      <c r="I91" s="7" t="s">
        <v>24</v>
      </c>
      <c r="J91" s="10" t="s">
        <v>2</v>
      </c>
      <c r="K91" s="59" t="e">
        <f>IF(E101&gt;0,E101,D101)*C85</f>
        <v>#N/A</v>
      </c>
      <c r="L91" s="59">
        <f>C85*F101</f>
        <v>0</v>
      </c>
    </row>
    <row r="92" spans="1:17" hidden="1" outlineLevel="1" x14ac:dyDescent="0.25">
      <c r="B92" s="6" t="s">
        <v>14</v>
      </c>
      <c r="C92" s="6"/>
      <c r="D92" s="6"/>
      <c r="E92" s="6"/>
      <c r="F92" s="6"/>
      <c r="G92" s="6"/>
      <c r="I92" s="7" t="s">
        <v>29</v>
      </c>
      <c r="J92" s="10" t="s">
        <v>2</v>
      </c>
      <c r="K92" s="59" t="e">
        <f>$C85*$C87*(1/100)*IF(E95&gt;0,E95,D95)*D110</f>
        <v>#N/A</v>
      </c>
      <c r="L92" s="59" t="e">
        <f>C85*C87*(1/100)*F94*G110+IFERROR(C85*C87*(1/100)*IF(G96&gt;0,G96,F96)*F110,0)</f>
        <v>#VALUE!</v>
      </c>
    </row>
    <row r="93" spans="1:17" hidden="1" outlineLevel="1" x14ac:dyDescent="0.25">
      <c r="B93" s="9" t="s">
        <v>15</v>
      </c>
      <c r="C93" s="141" t="s">
        <v>16</v>
      </c>
      <c r="D93" s="627" t="s">
        <v>1</v>
      </c>
      <c r="E93" s="627"/>
      <c r="F93" s="636" t="s">
        <v>4</v>
      </c>
      <c r="G93" s="636"/>
      <c r="I93" s="7" t="s">
        <v>23</v>
      </c>
      <c r="J93" s="10" t="s">
        <v>2</v>
      </c>
      <c r="K93" s="60">
        <f>IFERROR(C85*D102,0)+D103</f>
        <v>0</v>
      </c>
      <c r="L93" s="60">
        <f>IFERROR(C85*F102,0)+F103</f>
        <v>0</v>
      </c>
    </row>
    <row r="94" spans="1:17" hidden="1" outlineLevel="1" x14ac:dyDescent="0.25">
      <c r="B94" s="7" t="s">
        <v>18</v>
      </c>
      <c r="C94" s="7" t="s">
        <v>5</v>
      </c>
      <c r="D94" s="615" t="s">
        <v>6</v>
      </c>
      <c r="E94" s="616"/>
      <c r="F94" s="617" t="str">
        <f>IF(Hypothèses!G11&gt;0,Hypothèses!G11,Hypothèses!E11)</f>
        <v/>
      </c>
      <c r="G94" s="617"/>
      <c r="I94" s="13" t="s">
        <v>8</v>
      </c>
      <c r="J94" s="14"/>
      <c r="K94" s="15" t="e">
        <f>K85+K89</f>
        <v>#N/A</v>
      </c>
      <c r="L94" s="15" t="e">
        <f t="shared" ref="L94" si="1">L85+L89</f>
        <v>#N/A</v>
      </c>
    </row>
    <row r="95" spans="1:17" hidden="1" outlineLevel="1" x14ac:dyDescent="0.25">
      <c r="B95" s="7" t="s">
        <v>17</v>
      </c>
      <c r="C95" s="7" t="s">
        <v>32</v>
      </c>
      <c r="D95" s="142" t="e">
        <f>VLOOKUP($E80,Sources!$B$53:$D$62,3,FALSE)</f>
        <v>#N/A</v>
      </c>
      <c r="E95" s="234"/>
      <c r="F95" s="617" t="s">
        <v>6</v>
      </c>
      <c r="G95" s="617"/>
      <c r="I95" s="7" t="s">
        <v>27</v>
      </c>
      <c r="J95" s="10" t="s">
        <v>2</v>
      </c>
      <c r="K95" s="621" t="e">
        <f>L94-K94</f>
        <v>#N/A</v>
      </c>
      <c r="L95" s="621"/>
    </row>
    <row r="96" spans="1:17" hidden="1" outlineLevel="1" x14ac:dyDescent="0.25">
      <c r="B96" s="7" t="s">
        <v>123</v>
      </c>
      <c r="C96" s="7" t="s">
        <v>7</v>
      </c>
      <c r="D96" s="615" t="s">
        <v>6</v>
      </c>
      <c r="E96" s="616"/>
      <c r="F96" s="144" t="e">
        <f>IF(E80=Sources!$B$53,15.5-F94*0.35*33.3,VLOOKUP(E80,Sources!$B$53:$D$62,2,FALSE))</f>
        <v>#N/A</v>
      </c>
      <c r="G96" s="235"/>
      <c r="I96" s="7" t="s">
        <v>27</v>
      </c>
      <c r="J96" s="10" t="s">
        <v>9</v>
      </c>
      <c r="K96" s="622">
        <f>IFERROR(K95/K94,0)</f>
        <v>0</v>
      </c>
      <c r="L96" s="622"/>
    </row>
    <row r="97" spans="1:14" hidden="1" outlineLevel="1" x14ac:dyDescent="0.25">
      <c r="B97" s="8" t="s">
        <v>19</v>
      </c>
      <c r="C97" s="10" t="s">
        <v>2</v>
      </c>
      <c r="D97" s="232" t="e">
        <f>VLOOKUP($E80,Sources!$B$14:$D$23,2,FALSE)</f>
        <v>#N/A</v>
      </c>
      <c r="E97" s="236"/>
      <c r="F97" s="232" t="e">
        <f>VLOOKUP($E80,Sources!$B$14:$D$23,3,FALSE)</f>
        <v>#N/A</v>
      </c>
      <c r="G97" s="236"/>
      <c r="I97" s="7" t="s">
        <v>27</v>
      </c>
      <c r="J97" s="16" t="s">
        <v>28</v>
      </c>
      <c r="K97" s="623">
        <f>IFERROR((L94-K94)/(C85*C87),0)</f>
        <v>0</v>
      </c>
      <c r="L97" s="623"/>
    </row>
    <row r="98" spans="1:14" hidden="1" outlineLevel="1" x14ac:dyDescent="0.25">
      <c r="B98" s="7" t="s">
        <v>20</v>
      </c>
      <c r="C98" s="81" t="s">
        <v>9</v>
      </c>
      <c r="D98" s="624" t="e">
        <f>IF(OR($C85&gt;VLOOKUP($E80,Sources!$B$82:$G$91,6,FALSE),$C85*$C87&gt;VLOOKUP($E80,Sources!$B$96:$G$105,6,FALSE)),0,MIN(VLOOKUP($E80,Sources!$B$82:$F$91,2,FALSE)*$C85^3+VLOOKUP($E80,Sources!$B$82:$F$91,3,FALSE)*$C85^2+VLOOKUP($E80,Sources!$B$82:$F$91,4,FALSE)*$C85+VLOOKUP($E80,Sources!$B$82:$F$91,5,FALSE),VLOOKUP($E80,Sources!$B$96:$F$105,2,FALSE)*($C85*$C87)^3+VLOOKUP($E80,Sources!$B$96:$F$105,3,FALSE)*($C85*$C87)^2+VLOOKUP($E80,Sources!$B$96:$F$105,4,FALSE)*$C85*$C87+VLOOKUP($E80,Sources!$B$96:$F$105,5,FALSE)))</f>
        <v>#N/A</v>
      </c>
      <c r="E98" s="625"/>
      <c r="F98" s="626" t="e">
        <f>IF(OR($C85&gt;VLOOKUP($E80,Sources!$B$82:$G$91,6,FALSE),$C85*$C87&gt;VLOOKUP($E80,Sources!$B$96:$G$105,6,FALSE)),0,(1-Sources!$D$77)*MIN(VLOOKUP($E80,Sources!$B$82:$F$91,2,FALSE)*$C85^3+VLOOKUP($E80,Sources!$B$82:$F$91,3,FALSE)*$C85^2+VLOOKUP($E80,Sources!$B$82:$F$91,4,FALSE)*$C85+VLOOKUP($E80,Sources!$B$82:$F$91,5,FALSE),VLOOKUP($E80,Sources!$B$96:$F$105,2,FALSE)*($C85*$C87)^3+VLOOKUP($E80,Sources!$B$96:$F$105,3,FALSE)*($C85*$C87)^2+VLOOKUP($E80,Sources!$B$96:$F$105,4,FALSE)*$C85*$C87+VLOOKUP($E80,Sources!$B$96:$F$105,5,FALSE)))</f>
        <v>#N/A</v>
      </c>
      <c r="G98" s="626"/>
      <c r="I98"/>
      <c r="K98" s="3"/>
      <c r="M98" s="3"/>
      <c r="N98" s="3"/>
    </row>
    <row r="99" spans="1:14" hidden="1" outlineLevel="1" x14ac:dyDescent="0.25">
      <c r="B99" s="10" t="s">
        <v>0</v>
      </c>
      <c r="C99" s="7" t="s">
        <v>43</v>
      </c>
      <c r="D99" s="143" t="e">
        <f>VLOOKUP($E80,Sources!$B$27:$D$36,2,FALSE)</f>
        <v>#N/A</v>
      </c>
      <c r="E99" s="237"/>
      <c r="F99" s="614"/>
      <c r="G99" s="614"/>
      <c r="I99"/>
      <c r="K99" s="3"/>
      <c r="L99" s="3"/>
      <c r="N99" s="3"/>
    </row>
    <row r="100" spans="1:14" hidden="1" outlineLevel="1" x14ac:dyDescent="0.25">
      <c r="B100" s="10" t="s">
        <v>0</v>
      </c>
      <c r="C100" s="7" t="s">
        <v>34</v>
      </c>
      <c r="D100" s="615" t="e">
        <f>IF(E99&gt;0,E99,D99)*C87</f>
        <v>#N/A</v>
      </c>
      <c r="E100" s="616"/>
      <c r="F100" s="617">
        <f>F99*C87</f>
        <v>0</v>
      </c>
      <c r="G100" s="617"/>
      <c r="I100"/>
      <c r="K100" s="3"/>
      <c r="L100" s="3"/>
      <c r="N100" s="3"/>
    </row>
    <row r="101" spans="1:14" hidden="1" outlineLevel="1" x14ac:dyDescent="0.25">
      <c r="B101" s="7" t="s">
        <v>24</v>
      </c>
      <c r="C101" s="7" t="s">
        <v>34</v>
      </c>
      <c r="D101" s="232" t="e">
        <f>VLOOKUP($E80,Sources!$B$40:$D$49,2,FALSE)</f>
        <v>#N/A</v>
      </c>
      <c r="E101" s="236"/>
      <c r="F101" s="614"/>
      <c r="G101" s="614"/>
      <c r="I101"/>
      <c r="K101" s="3"/>
      <c r="L101" s="3"/>
      <c r="N101" s="3"/>
    </row>
    <row r="102" spans="1:14" hidden="1" outlineLevel="1" x14ac:dyDescent="0.25">
      <c r="B102" s="7" t="s">
        <v>26</v>
      </c>
      <c r="C102" s="7" t="s">
        <v>34</v>
      </c>
      <c r="D102" s="615">
        <v>0</v>
      </c>
      <c r="E102" s="616"/>
      <c r="F102" s="614"/>
      <c r="G102" s="614"/>
      <c r="I102"/>
      <c r="J102"/>
      <c r="K102" s="3"/>
      <c r="L102" s="3"/>
      <c r="N102" s="3"/>
    </row>
    <row r="103" spans="1:14" hidden="1" outlineLevel="1" x14ac:dyDescent="0.25">
      <c r="B103" s="7" t="s">
        <v>209</v>
      </c>
      <c r="C103" s="7" t="s">
        <v>2</v>
      </c>
      <c r="D103" s="618"/>
      <c r="E103" s="619"/>
      <c r="F103" s="614"/>
      <c r="G103" s="614"/>
      <c r="I103"/>
      <c r="J103"/>
      <c r="K103" s="3"/>
      <c r="L103" s="3"/>
      <c r="N103" s="3"/>
    </row>
    <row r="104" spans="1:14" hidden="1" outlineLevel="1" x14ac:dyDescent="0.25">
      <c r="B104" s="7" t="s">
        <v>25</v>
      </c>
      <c r="C104" s="10" t="s">
        <v>2</v>
      </c>
      <c r="D104" s="615">
        <v>0</v>
      </c>
      <c r="E104" s="616"/>
      <c r="F104" s="620">
        <f>C90+C89</f>
        <v>0</v>
      </c>
      <c r="G104" s="620"/>
      <c r="I104"/>
      <c r="J104" s="3"/>
      <c r="K104" s="3"/>
      <c r="L104" s="3"/>
      <c r="N104" s="3"/>
    </row>
    <row r="105" spans="1:14" hidden="1" outlineLevel="1" x14ac:dyDescent="0.25">
      <c r="H105"/>
      <c r="I105" s="3"/>
      <c r="J105" s="3"/>
      <c r="K105" s="3"/>
      <c r="M105" s="3"/>
    </row>
    <row r="106" spans="1:14" hidden="1" outlineLevel="1" x14ac:dyDescent="0.25">
      <c r="I106" s="3"/>
      <c r="J106" s="3"/>
      <c r="K106" s="3"/>
      <c r="M106" s="3"/>
    </row>
    <row r="107" spans="1:14" hidden="1" outlineLevel="1" x14ac:dyDescent="0.25">
      <c r="B107" s="6" t="s">
        <v>10</v>
      </c>
      <c r="C107" s="6"/>
      <c r="D107" s="6"/>
      <c r="E107" s="6"/>
      <c r="F107" s="5"/>
      <c r="G107" s="5"/>
      <c r="H107"/>
      <c r="J107" s="3"/>
      <c r="K107" s="3"/>
      <c r="M107" s="3"/>
    </row>
    <row r="108" spans="1:14" hidden="1" outlineLevel="1" x14ac:dyDescent="0.25">
      <c r="B108" s="9" t="s">
        <v>15</v>
      </c>
      <c r="C108" s="9" t="s">
        <v>16</v>
      </c>
      <c r="D108" s="627" t="s">
        <v>1</v>
      </c>
      <c r="E108" s="627"/>
      <c r="F108" s="203" t="s">
        <v>21</v>
      </c>
      <c r="G108" s="203" t="s">
        <v>4</v>
      </c>
      <c r="J108" s="3"/>
      <c r="K108" s="3"/>
      <c r="M108" s="3"/>
    </row>
    <row r="109" spans="1:14" hidden="1" outlineLevel="1" x14ac:dyDescent="0.25">
      <c r="B109" s="7" t="s">
        <v>236</v>
      </c>
      <c r="C109" s="7" t="s">
        <v>119</v>
      </c>
      <c r="D109" s="612">
        <f>IF(OR(E80=Sources!$B$14,E80=Sources!$B$15,E80=Sources!$B$23,E80=Sources!$B$24),Sources!$D$4,IF(OR(E80=Sources!$B$16,E80=Sources!$B$17,E80=Sources!$B$18),Sources!$D$6,Sources!$D$7))</f>
        <v>1.367</v>
      </c>
      <c r="E109" s="613"/>
      <c r="F109" s="140">
        <f>Sources!$C$8</f>
        <v>0.24</v>
      </c>
      <c r="J109" s="3"/>
      <c r="K109" s="3"/>
      <c r="M109" s="3"/>
    </row>
    <row r="110" spans="1:14" hidden="1" outlineLevel="1" x14ac:dyDescent="0.25">
      <c r="B110" s="7" t="s">
        <v>35</v>
      </c>
      <c r="C110" s="7" t="s">
        <v>119</v>
      </c>
      <c r="D110" s="612" t="e">
        <f>D109*(1+Sources!C$9)^(C84-2020)*(1-(1+Sources!C$9)^C85)/(-Sources!C$9*C85)</f>
        <v>#DIV/0!</v>
      </c>
      <c r="E110" s="613"/>
      <c r="F110" s="140" t="e">
        <f>Sources!C$8*(1+Sources!C$10)^(C84-2019)*(1-(1+Sources!C$10)^C85)/(-Sources!C$10*C85)</f>
        <v>#DIV/0!</v>
      </c>
      <c r="G110" s="140">
        <f>IFERROR(Hypothèses!H11*(1+L$8)^(C84-L$7)*(1-(1+L$8)^C85)/(-L$8*C85),Hypothèses!H11)</f>
        <v>0</v>
      </c>
      <c r="J110" s="3"/>
      <c r="K110" s="3"/>
      <c r="M110" s="3"/>
    </row>
    <row r="111" spans="1:14" s="27" customFormat="1" collapsed="1" x14ac:dyDescent="0.25">
      <c r="B111" s="17"/>
      <c r="C111" s="1"/>
      <c r="D111" s="1"/>
      <c r="E111" s="1"/>
      <c r="F111" s="1"/>
      <c r="G111" s="1"/>
      <c r="H111" s="1"/>
      <c r="I111" s="3"/>
      <c r="J111" s="3"/>
      <c r="K111" s="1"/>
      <c r="L111" s="3"/>
    </row>
    <row r="112" spans="1:14" s="628" customFormat="1" ht="18.75" x14ac:dyDescent="0.3">
      <c r="A112" s="628" t="s">
        <v>56</v>
      </c>
    </row>
    <row r="113" spans="1:17" x14ac:dyDescent="0.25">
      <c r="A113" s="233">
        <f>IF(AND(F133&gt;0,C118&gt;0,IFERROR(K129,0)&gt;0),1,0)</f>
        <v>0</v>
      </c>
      <c r="B113" s="4"/>
    </row>
    <row r="114" spans="1:17" ht="18.75" x14ac:dyDescent="0.3">
      <c r="B114" s="4"/>
      <c r="E114" s="637" t="str">
        <f>IF(Hypothèses!B12&lt;&gt;0,Hypothèses!B12,"")</f>
        <v/>
      </c>
      <c r="F114" s="637"/>
      <c r="G114" s="637"/>
      <c r="H114" s="637"/>
      <c r="I114" s="637"/>
      <c r="O114" s="4"/>
    </row>
    <row r="115" spans="1:17" hidden="1" outlineLevel="1" x14ac:dyDescent="0.25">
      <c r="A115" s="4" t="s">
        <v>54</v>
      </c>
      <c r="B115" s="632" t="str">
        <f>B$13</f>
        <v>Modèle du véhicule (constructeur, nom commercial) :</v>
      </c>
      <c r="C115" s="632"/>
      <c r="D115" s="632"/>
      <c r="E115" s="614"/>
      <c r="F115" s="614"/>
      <c r="G115" s="614"/>
      <c r="H115" s="614"/>
      <c r="I115" s="614"/>
      <c r="O115" s="4"/>
    </row>
    <row r="116" spans="1:17" hidden="1" outlineLevel="1" x14ac:dyDescent="0.25">
      <c r="O116" s="4"/>
    </row>
    <row r="117" spans="1:17" hidden="1" outlineLevel="1" x14ac:dyDescent="0.25">
      <c r="B117" s="6" t="s">
        <v>13</v>
      </c>
      <c r="C117" s="6"/>
      <c r="D117" s="6"/>
      <c r="E117" s="6"/>
      <c r="F117" s="6"/>
      <c r="G117" s="6"/>
      <c r="I117" s="6" t="s">
        <v>22</v>
      </c>
      <c r="J117" s="6"/>
      <c r="K117" s="6"/>
      <c r="L117" s="6"/>
      <c r="Q117" s="4"/>
    </row>
    <row r="118" spans="1:17" hidden="1" outlineLevel="1" x14ac:dyDescent="0.25">
      <c r="B118" s="7" t="s">
        <v>36</v>
      </c>
      <c r="C118" s="230"/>
      <c r="I118" s="9" t="s">
        <v>15</v>
      </c>
      <c r="J118" s="9" t="s">
        <v>16</v>
      </c>
      <c r="K118" s="9" t="s">
        <v>1</v>
      </c>
      <c r="L118" s="9" t="s">
        <v>4</v>
      </c>
      <c r="Q118" s="4"/>
    </row>
    <row r="119" spans="1:17" hidden="1" outlineLevel="1" x14ac:dyDescent="0.25">
      <c r="B119" s="7" t="s">
        <v>240</v>
      </c>
      <c r="C119" s="231"/>
      <c r="I119" s="11" t="s">
        <v>31</v>
      </c>
      <c r="J119" s="11" t="s">
        <v>2</v>
      </c>
      <c r="K119" s="12" t="e">
        <f>SUM(K120:K122)</f>
        <v>#N/A</v>
      </c>
      <c r="L119" s="12" t="e">
        <f>SUM(L120:L122)</f>
        <v>#N/A</v>
      </c>
    </row>
    <row r="120" spans="1:17" hidden="1" outlineLevel="1" x14ac:dyDescent="0.25">
      <c r="B120" s="7" t="s">
        <v>44</v>
      </c>
      <c r="C120" s="231"/>
      <c r="I120" s="10" t="s">
        <v>3</v>
      </c>
      <c r="J120" s="10" t="s">
        <v>2</v>
      </c>
      <c r="K120" s="59" t="e">
        <f>IF(E131&gt;0,E131,D131)</f>
        <v>#N/A</v>
      </c>
      <c r="L120" s="59" t="e">
        <f>IF(G131&gt;0,G131,F131)</f>
        <v>#N/A</v>
      </c>
      <c r="M120" s="2"/>
    </row>
    <row r="121" spans="1:17" hidden="1" outlineLevel="1" x14ac:dyDescent="0.25">
      <c r="B121" s="7" t="s">
        <v>11</v>
      </c>
      <c r="C121" s="59">
        <f>Hypothèses!C12</f>
        <v>0</v>
      </c>
      <c r="I121" s="7" t="s">
        <v>33</v>
      </c>
      <c r="J121" s="10" t="s">
        <v>2</v>
      </c>
      <c r="K121" s="59">
        <f>-D138</f>
        <v>0</v>
      </c>
      <c r="L121" s="59">
        <f>-F138</f>
        <v>0</v>
      </c>
    </row>
    <row r="122" spans="1:17" hidden="1" outlineLevel="1" x14ac:dyDescent="0.25">
      <c r="B122" s="7" t="s">
        <v>12</v>
      </c>
      <c r="C122" s="59">
        <f>IFERROR(C121/C120,0)</f>
        <v>0</v>
      </c>
      <c r="I122" s="7" t="s">
        <v>20</v>
      </c>
      <c r="J122" s="10" t="s">
        <v>2</v>
      </c>
      <c r="K122" s="59" t="e">
        <f>-D132*K120</f>
        <v>#N/A</v>
      </c>
      <c r="L122" s="59" t="e">
        <f>-F132*L120</f>
        <v>#N/A</v>
      </c>
    </row>
    <row r="123" spans="1:17" hidden="1" outlineLevel="1" x14ac:dyDescent="0.25">
      <c r="B123" s="7" t="s">
        <v>241</v>
      </c>
      <c r="C123" s="231"/>
      <c r="F123"/>
      <c r="G123"/>
      <c r="I123" s="11" t="s">
        <v>30</v>
      </c>
      <c r="J123" s="11" t="s">
        <v>2</v>
      </c>
      <c r="K123" s="12" t="e">
        <f>SUM(K124:K127)</f>
        <v>#N/A</v>
      </c>
      <c r="L123" s="12" t="e">
        <f>SUM(L124:L127)</f>
        <v>#VALUE!</v>
      </c>
    </row>
    <row r="124" spans="1:17" hidden="1" outlineLevel="1" x14ac:dyDescent="0.25">
      <c r="B124" s="7" t="s">
        <v>242</v>
      </c>
      <c r="C124" s="231"/>
      <c r="F124"/>
      <c r="G124"/>
      <c r="I124" s="10" t="s">
        <v>0</v>
      </c>
      <c r="J124" s="10" t="s">
        <v>2</v>
      </c>
      <c r="K124" s="59" t="e">
        <f>C119*D134</f>
        <v>#N/A</v>
      </c>
      <c r="L124" s="59">
        <f>C119*F134</f>
        <v>0</v>
      </c>
      <c r="M124" s="2"/>
    </row>
    <row r="125" spans="1:17" hidden="1" outlineLevel="1" x14ac:dyDescent="0.25">
      <c r="I125" s="7" t="s">
        <v>24</v>
      </c>
      <c r="J125" s="10" t="s">
        <v>2</v>
      </c>
      <c r="K125" s="59" t="e">
        <f>IF(E135&gt;0,E135,D135)*C119</f>
        <v>#N/A</v>
      </c>
      <c r="L125" s="59">
        <f>C119*F135</f>
        <v>0</v>
      </c>
    </row>
    <row r="126" spans="1:17" hidden="1" outlineLevel="1" x14ac:dyDescent="0.25">
      <c r="B126" s="6" t="s">
        <v>14</v>
      </c>
      <c r="C126" s="6"/>
      <c r="D126" s="6"/>
      <c r="E126" s="6"/>
      <c r="F126" s="6"/>
      <c r="G126" s="6"/>
      <c r="I126" s="7" t="s">
        <v>29</v>
      </c>
      <c r="J126" s="10" t="s">
        <v>2</v>
      </c>
      <c r="K126" s="59" t="e">
        <f>$C119*$C121*(1/100)*IF(E129&gt;0,E129,D129)*D144</f>
        <v>#N/A</v>
      </c>
      <c r="L126" s="59" t="e">
        <f>C119*C121*(1/100)*F128*G144+IFERROR(C119*C121*(1/100)*IF(G130&gt;0,G130,F130)*F144,0)</f>
        <v>#VALUE!</v>
      </c>
    </row>
    <row r="127" spans="1:17" hidden="1" outlineLevel="1" x14ac:dyDescent="0.25">
      <c r="B127" s="9" t="s">
        <v>15</v>
      </c>
      <c r="C127" s="9" t="s">
        <v>16</v>
      </c>
      <c r="D127" s="627" t="s">
        <v>1</v>
      </c>
      <c r="E127" s="627"/>
      <c r="F127" s="636" t="s">
        <v>4</v>
      </c>
      <c r="G127" s="636"/>
      <c r="I127" s="7" t="s">
        <v>23</v>
      </c>
      <c r="J127" s="10" t="s">
        <v>2</v>
      </c>
      <c r="K127" s="60">
        <f>IFERROR(C119*D136,0)+D137</f>
        <v>0</v>
      </c>
      <c r="L127" s="60">
        <f>IFERROR(C119*F136,0)+F137</f>
        <v>0</v>
      </c>
    </row>
    <row r="128" spans="1:17" hidden="1" outlineLevel="1" x14ac:dyDescent="0.25">
      <c r="B128" s="7" t="s">
        <v>18</v>
      </c>
      <c r="C128" s="7" t="s">
        <v>5</v>
      </c>
      <c r="D128" s="615" t="s">
        <v>6</v>
      </c>
      <c r="E128" s="616"/>
      <c r="F128" s="617" t="str">
        <f>IF(Hypothèses!G12&gt;0,Hypothèses!G12,Hypothèses!E12)</f>
        <v/>
      </c>
      <c r="G128" s="617"/>
      <c r="I128" s="13" t="s">
        <v>8</v>
      </c>
      <c r="J128" s="14"/>
      <c r="K128" s="15" t="e">
        <f>K119+K123</f>
        <v>#N/A</v>
      </c>
      <c r="L128" s="15" t="e">
        <f t="shared" ref="L128" si="2">L119+L123</f>
        <v>#N/A</v>
      </c>
    </row>
    <row r="129" spans="2:14" hidden="1" outlineLevel="1" x14ac:dyDescent="0.25">
      <c r="B129" s="7" t="s">
        <v>17</v>
      </c>
      <c r="C129" s="7" t="s">
        <v>32</v>
      </c>
      <c r="D129" s="142" t="e">
        <f>VLOOKUP($E114,Sources!$B$53:$D$62,3,FALSE)</f>
        <v>#N/A</v>
      </c>
      <c r="E129" s="234"/>
      <c r="F129" s="617" t="s">
        <v>6</v>
      </c>
      <c r="G129" s="617"/>
      <c r="I129" s="7" t="s">
        <v>27</v>
      </c>
      <c r="J129" s="10" t="s">
        <v>2</v>
      </c>
      <c r="K129" s="621" t="e">
        <f>L128-K128</f>
        <v>#N/A</v>
      </c>
      <c r="L129" s="621"/>
    </row>
    <row r="130" spans="2:14" hidden="1" outlineLevel="1" x14ac:dyDescent="0.25">
      <c r="B130" s="7" t="s">
        <v>123</v>
      </c>
      <c r="C130" s="7" t="s">
        <v>7</v>
      </c>
      <c r="D130" s="615" t="s">
        <v>6</v>
      </c>
      <c r="E130" s="616"/>
      <c r="F130" s="144" t="e">
        <f>IF(E114=Sources!$B$53,15.5-F128*0.35*33.3,VLOOKUP(E114,Sources!$B$53:$D$62,2,FALSE))</f>
        <v>#N/A</v>
      </c>
      <c r="G130" s="235"/>
      <c r="I130" s="7" t="s">
        <v>27</v>
      </c>
      <c r="J130" s="10" t="s">
        <v>9</v>
      </c>
      <c r="K130" s="622">
        <f>IFERROR(K129/K128,0)</f>
        <v>0</v>
      </c>
      <c r="L130" s="622"/>
    </row>
    <row r="131" spans="2:14" hidden="1" outlineLevel="1" x14ac:dyDescent="0.25">
      <c r="B131" s="8" t="s">
        <v>19</v>
      </c>
      <c r="C131" s="10" t="s">
        <v>2</v>
      </c>
      <c r="D131" s="232" t="e">
        <f>VLOOKUP($E114,Sources!$B$14:$D$23,2,FALSE)</f>
        <v>#N/A</v>
      </c>
      <c r="E131" s="236"/>
      <c r="F131" s="232" t="e">
        <f>VLOOKUP($E114,Sources!$B$14:$D$23,3,FALSE)</f>
        <v>#N/A</v>
      </c>
      <c r="G131" s="236"/>
      <c r="I131" s="7" t="s">
        <v>27</v>
      </c>
      <c r="J131" s="16" t="s">
        <v>28</v>
      </c>
      <c r="K131" s="623">
        <f>IFERROR((L128-K128)/(C119*C121),0)</f>
        <v>0</v>
      </c>
      <c r="L131" s="623"/>
    </row>
    <row r="132" spans="2:14" hidden="1" outlineLevel="1" x14ac:dyDescent="0.25">
      <c r="B132" s="7" t="s">
        <v>20</v>
      </c>
      <c r="C132" s="81" t="s">
        <v>9</v>
      </c>
      <c r="D132" s="624" t="e">
        <f>IF(OR($C119&gt;VLOOKUP($E114,Sources!$B$82:$G$91,6,FALSE),$C119*$C121&gt;VLOOKUP($E114,Sources!$B$96:$G$105,6,FALSE)),0,MIN(VLOOKUP($E114,Sources!$B$82:$F$91,2,FALSE)*$C119^3+VLOOKUP($E114,Sources!$B$82:$F$91,3,FALSE)*$C119^2+VLOOKUP($E114,Sources!$B$82:$F$91,4,FALSE)*$C119+VLOOKUP($E114,Sources!$B$82:$F$91,5,FALSE),VLOOKUP($E114,Sources!$B$96:$F$105,2,FALSE)*($C119*$C121)^3+VLOOKUP($E114,Sources!$B$96:$F$105,3,FALSE)*($C119*$C121)^2+VLOOKUP($E114,Sources!$B$96:$F$105,4,FALSE)*$C119*$C121+VLOOKUP($E114,Sources!$B$96:$F$105,5,FALSE)))</f>
        <v>#N/A</v>
      </c>
      <c r="E132" s="625"/>
      <c r="F132" s="626" t="e">
        <f>IF(OR($C119&gt;VLOOKUP($E114,Sources!$B$82:$G$91,6,FALSE),$C119*$C121&gt;VLOOKUP($E114,Sources!$B$96:$G$105,6,FALSE)),0,(1-Sources!$D$77)*MIN(VLOOKUP($E114,Sources!$B$82:$F$91,2,FALSE)*$C119^3+VLOOKUP($E114,Sources!$B$82:$F$91,3,FALSE)*$C119^2+VLOOKUP($E114,Sources!$B$82:$F$91,4,FALSE)*$C119+VLOOKUP($E114,Sources!$B$82:$F$91,5,FALSE),VLOOKUP($E114,Sources!$B$96:$F$105,2,FALSE)*($C119*$C121)^3+VLOOKUP($E114,Sources!$B$96:$F$105,3,FALSE)*($C119*$C121)^2+VLOOKUP($E114,Sources!$B$96:$F$105,4,FALSE)*$C119*$C121+VLOOKUP($E114,Sources!$B$96:$F$105,5,FALSE)))</f>
        <v>#N/A</v>
      </c>
      <c r="G132" s="626"/>
      <c r="I132"/>
      <c r="K132" s="3"/>
      <c r="M132" s="3"/>
      <c r="N132" s="3"/>
    </row>
    <row r="133" spans="2:14" hidden="1" outlineLevel="1" x14ac:dyDescent="0.25">
      <c r="B133" s="10" t="s">
        <v>0</v>
      </c>
      <c r="C133" s="7" t="s">
        <v>43</v>
      </c>
      <c r="D133" s="143" t="e">
        <f>VLOOKUP($E114,Sources!$B$27:$D$36,2,FALSE)</f>
        <v>#N/A</v>
      </c>
      <c r="E133" s="237"/>
      <c r="F133" s="614"/>
      <c r="G133" s="614"/>
      <c r="I133"/>
      <c r="K133" s="3"/>
      <c r="L133" s="3"/>
      <c r="N133" s="3"/>
    </row>
    <row r="134" spans="2:14" hidden="1" outlineLevel="1" x14ac:dyDescent="0.25">
      <c r="B134" s="10" t="s">
        <v>0</v>
      </c>
      <c r="C134" s="7" t="s">
        <v>34</v>
      </c>
      <c r="D134" s="615" t="e">
        <f>IF(E133&gt;0,E133,D133)*C121</f>
        <v>#N/A</v>
      </c>
      <c r="E134" s="616"/>
      <c r="F134" s="617">
        <f>F133*C121</f>
        <v>0</v>
      </c>
      <c r="G134" s="617"/>
      <c r="I134"/>
      <c r="K134" s="3"/>
      <c r="L134" s="3"/>
      <c r="N134" s="3"/>
    </row>
    <row r="135" spans="2:14" hidden="1" outlineLevel="1" x14ac:dyDescent="0.25">
      <c r="B135" s="7" t="s">
        <v>24</v>
      </c>
      <c r="C135" s="7" t="s">
        <v>34</v>
      </c>
      <c r="D135" s="232" t="e">
        <f>VLOOKUP($E114,Sources!$B$40:$D$49,2,FALSE)</f>
        <v>#N/A</v>
      </c>
      <c r="E135" s="236"/>
      <c r="F135" s="614"/>
      <c r="G135" s="614"/>
      <c r="I135"/>
      <c r="K135" s="3"/>
      <c r="L135" s="3"/>
      <c r="N135" s="3"/>
    </row>
    <row r="136" spans="2:14" hidden="1" outlineLevel="1" x14ac:dyDescent="0.25">
      <c r="B136" s="7" t="s">
        <v>26</v>
      </c>
      <c r="C136" s="7" t="s">
        <v>34</v>
      </c>
      <c r="D136" s="615">
        <v>0</v>
      </c>
      <c r="E136" s="616"/>
      <c r="F136" s="614"/>
      <c r="G136" s="614"/>
      <c r="I136"/>
      <c r="J136"/>
      <c r="K136" s="3"/>
      <c r="L136" s="3"/>
      <c r="N136" s="3"/>
    </row>
    <row r="137" spans="2:14" hidden="1" outlineLevel="1" x14ac:dyDescent="0.25">
      <c r="B137" s="7" t="s">
        <v>209</v>
      </c>
      <c r="C137" s="7" t="s">
        <v>2</v>
      </c>
      <c r="D137" s="618"/>
      <c r="E137" s="619"/>
      <c r="F137" s="614"/>
      <c r="G137" s="614"/>
      <c r="I137"/>
      <c r="J137"/>
      <c r="K137" s="3"/>
      <c r="L137" s="3"/>
      <c r="N137" s="3"/>
    </row>
    <row r="138" spans="2:14" hidden="1" outlineLevel="1" x14ac:dyDescent="0.25">
      <c r="B138" s="7" t="s">
        <v>25</v>
      </c>
      <c r="C138" s="10" t="s">
        <v>2</v>
      </c>
      <c r="D138" s="615">
        <v>0</v>
      </c>
      <c r="E138" s="616"/>
      <c r="F138" s="620">
        <f>C124+C123</f>
        <v>0</v>
      </c>
      <c r="G138" s="620"/>
      <c r="I138"/>
      <c r="J138" s="3"/>
      <c r="K138" s="3"/>
      <c r="L138" s="3"/>
      <c r="N138" s="3"/>
    </row>
    <row r="139" spans="2:14" hidden="1" outlineLevel="1" x14ac:dyDescent="0.25">
      <c r="G139"/>
      <c r="H139" s="3"/>
      <c r="I139" s="3"/>
      <c r="J139" s="3"/>
      <c r="L139" s="3"/>
    </row>
    <row r="140" spans="2:14" hidden="1" outlineLevel="1" x14ac:dyDescent="0.25">
      <c r="H140" s="3"/>
      <c r="I140" s="3"/>
      <c r="J140" s="3"/>
      <c r="L140" s="3"/>
    </row>
    <row r="141" spans="2:14" hidden="1" outlineLevel="1" x14ac:dyDescent="0.25">
      <c r="B141" s="6" t="s">
        <v>10</v>
      </c>
      <c r="C141" s="6"/>
      <c r="D141" s="6"/>
      <c r="E141" s="6"/>
      <c r="F141" s="5"/>
      <c r="G141" s="5"/>
      <c r="H141"/>
      <c r="J141" s="3"/>
      <c r="K141" s="3"/>
      <c r="M141" s="3"/>
    </row>
    <row r="142" spans="2:14" hidden="1" outlineLevel="1" x14ac:dyDescent="0.25">
      <c r="B142" s="9" t="s">
        <v>15</v>
      </c>
      <c r="C142" s="9" t="s">
        <v>16</v>
      </c>
      <c r="D142" s="627" t="s">
        <v>1</v>
      </c>
      <c r="E142" s="627"/>
      <c r="F142" s="203" t="s">
        <v>21</v>
      </c>
      <c r="G142" s="203" t="s">
        <v>4</v>
      </c>
      <c r="J142" s="3"/>
      <c r="K142" s="3"/>
      <c r="M142" s="3"/>
    </row>
    <row r="143" spans="2:14" hidden="1" outlineLevel="1" x14ac:dyDescent="0.25">
      <c r="B143" s="7" t="s">
        <v>236</v>
      </c>
      <c r="C143" s="7" t="s">
        <v>119</v>
      </c>
      <c r="D143" s="612">
        <f>IF(OR(E114=Sources!$B$14,E114=Sources!$B$15,E114=Sources!$B$23,E114=Sources!$B$24),Sources!$D$4,IF(OR(E114=Sources!$B$16,E114=Sources!$B$17,E114=Sources!$B$18),Sources!$D$6,Sources!$D$7))</f>
        <v>1.367</v>
      </c>
      <c r="E143" s="613"/>
      <c r="F143" s="140">
        <f>Sources!$C$8</f>
        <v>0.24</v>
      </c>
      <c r="J143" s="3"/>
      <c r="K143" s="3"/>
      <c r="M143" s="3"/>
    </row>
    <row r="144" spans="2:14" hidden="1" outlineLevel="1" x14ac:dyDescent="0.25">
      <c r="B144" s="7" t="s">
        <v>35</v>
      </c>
      <c r="C144" s="7" t="s">
        <v>119</v>
      </c>
      <c r="D144" s="612" t="e">
        <f>D143*(1+Sources!C$9)^(C118-2020)*(1-(1+Sources!C$9)^C119)/(-Sources!C$9*C119)</f>
        <v>#DIV/0!</v>
      </c>
      <c r="E144" s="613"/>
      <c r="F144" s="140" t="e">
        <f>Sources!C$8*(1+Sources!C$10)^(C118-2019)*(1-(1+Sources!C$10)^C119)/(-Sources!C$10*C119)</f>
        <v>#DIV/0!</v>
      </c>
      <c r="G144" s="140">
        <f>IFERROR(Hypothèses!H12*(1+L$8)^(C118-L$7)*(1-(1+L$8)^C119)/(-L$8*C119),Hypothèses!H12)</f>
        <v>0</v>
      </c>
      <c r="J144" s="3"/>
      <c r="K144" s="3"/>
      <c r="M144" s="3"/>
    </row>
    <row r="145" spans="1:17" collapsed="1" x14ac:dyDescent="0.25"/>
    <row r="146" spans="1:17" s="628" customFormat="1" ht="18.75" x14ac:dyDescent="0.3">
      <c r="A146" s="628" t="s">
        <v>57</v>
      </c>
    </row>
    <row r="147" spans="1:17" x14ac:dyDescent="0.25">
      <c r="A147" s="229">
        <f>IF(AND(F167&gt;0,C152&gt;0,IFERROR(K163,0)&gt;0),1,0)</f>
        <v>0</v>
      </c>
      <c r="B147" s="4"/>
    </row>
    <row r="148" spans="1:17" ht="18.75" x14ac:dyDescent="0.3">
      <c r="B148" s="4"/>
      <c r="E148" s="637" t="str">
        <f>IF(Hypothèses!B13&lt;&gt;0,Hypothèses!B13,"")</f>
        <v/>
      </c>
      <c r="F148" s="637"/>
      <c r="G148" s="637"/>
      <c r="H148" s="637"/>
      <c r="I148" s="637"/>
      <c r="O148" s="4"/>
    </row>
    <row r="149" spans="1:17" hidden="1" outlineLevel="1" x14ac:dyDescent="0.25">
      <c r="A149" s="4" t="s">
        <v>54</v>
      </c>
      <c r="B149" s="632" t="str">
        <f>B$13</f>
        <v>Modèle du véhicule (constructeur, nom commercial) :</v>
      </c>
      <c r="C149" s="632"/>
      <c r="D149" s="632"/>
      <c r="E149" s="614"/>
      <c r="F149" s="614"/>
      <c r="G149" s="614"/>
      <c r="H149" s="614"/>
      <c r="I149" s="614"/>
      <c r="O149" s="4"/>
    </row>
    <row r="150" spans="1:17" hidden="1" outlineLevel="1" x14ac:dyDescent="0.25">
      <c r="O150" s="4"/>
    </row>
    <row r="151" spans="1:17" hidden="1" outlineLevel="1" x14ac:dyDescent="0.25">
      <c r="B151" s="6" t="s">
        <v>13</v>
      </c>
      <c r="C151" s="6"/>
      <c r="D151" s="6"/>
      <c r="E151" s="6"/>
      <c r="F151" s="6"/>
      <c r="G151" s="6"/>
      <c r="I151" s="6" t="s">
        <v>22</v>
      </c>
      <c r="J151" s="6"/>
      <c r="K151" s="6"/>
      <c r="L151" s="6"/>
      <c r="Q151" s="4"/>
    </row>
    <row r="152" spans="1:17" hidden="1" outlineLevel="1" x14ac:dyDescent="0.25">
      <c r="B152" s="7" t="s">
        <v>36</v>
      </c>
      <c r="C152" s="230"/>
      <c r="I152" s="9" t="s">
        <v>15</v>
      </c>
      <c r="J152" s="9" t="s">
        <v>16</v>
      </c>
      <c r="K152" s="9" t="s">
        <v>1</v>
      </c>
      <c r="L152" s="9" t="s">
        <v>4</v>
      </c>
      <c r="Q152" s="4"/>
    </row>
    <row r="153" spans="1:17" hidden="1" outlineLevel="1" x14ac:dyDescent="0.25">
      <c r="B153" s="7" t="s">
        <v>240</v>
      </c>
      <c r="C153" s="231"/>
      <c r="I153" s="11" t="s">
        <v>31</v>
      </c>
      <c r="J153" s="11" t="s">
        <v>2</v>
      </c>
      <c r="K153" s="12" t="e">
        <f>SUM(K154:K156)</f>
        <v>#N/A</v>
      </c>
      <c r="L153" s="12" t="e">
        <f>SUM(L154:L156)</f>
        <v>#N/A</v>
      </c>
    </row>
    <row r="154" spans="1:17" hidden="1" outlineLevel="1" x14ac:dyDescent="0.25">
      <c r="B154" s="7" t="s">
        <v>44</v>
      </c>
      <c r="C154" s="231"/>
      <c r="I154" s="10" t="s">
        <v>3</v>
      </c>
      <c r="J154" s="10" t="s">
        <v>2</v>
      </c>
      <c r="K154" s="59" t="e">
        <f>IF(E165&gt;0,E165,D165)</f>
        <v>#N/A</v>
      </c>
      <c r="L154" s="59" t="e">
        <f>IF(G165&gt;0,G165,F165)</f>
        <v>#N/A</v>
      </c>
      <c r="M154" s="2"/>
    </row>
    <row r="155" spans="1:17" hidden="1" outlineLevel="1" x14ac:dyDescent="0.25">
      <c r="B155" s="7" t="s">
        <v>11</v>
      </c>
      <c r="C155" s="59">
        <f>Hypothèses!C13</f>
        <v>0</v>
      </c>
      <c r="I155" s="7" t="s">
        <v>33</v>
      </c>
      <c r="J155" s="10" t="s">
        <v>2</v>
      </c>
      <c r="K155" s="59">
        <f>-D172</f>
        <v>0</v>
      </c>
      <c r="L155" s="59">
        <f>-F172</f>
        <v>0</v>
      </c>
    </row>
    <row r="156" spans="1:17" hidden="1" outlineLevel="1" x14ac:dyDescent="0.25">
      <c r="B156" s="7" t="s">
        <v>12</v>
      </c>
      <c r="C156" s="59">
        <f>IFERROR(C155/C154,0)</f>
        <v>0</v>
      </c>
      <c r="I156" s="7" t="s">
        <v>20</v>
      </c>
      <c r="J156" s="10" t="s">
        <v>2</v>
      </c>
      <c r="K156" s="59" t="e">
        <f>-D166*K154</f>
        <v>#N/A</v>
      </c>
      <c r="L156" s="59" t="e">
        <f>-F166*L154</f>
        <v>#N/A</v>
      </c>
    </row>
    <row r="157" spans="1:17" hidden="1" outlineLevel="1" x14ac:dyDescent="0.25">
      <c r="B157" s="7" t="s">
        <v>241</v>
      </c>
      <c r="C157" s="231"/>
      <c r="F157"/>
      <c r="G157"/>
      <c r="I157" s="11" t="s">
        <v>30</v>
      </c>
      <c r="J157" s="11" t="s">
        <v>2</v>
      </c>
      <c r="K157" s="12" t="e">
        <f>SUM(K158:K161)</f>
        <v>#N/A</v>
      </c>
      <c r="L157" s="12" t="e">
        <f>SUM(L158:L161)</f>
        <v>#VALUE!</v>
      </c>
    </row>
    <row r="158" spans="1:17" hidden="1" outlineLevel="1" x14ac:dyDescent="0.25">
      <c r="B158" s="7" t="s">
        <v>242</v>
      </c>
      <c r="C158" s="231"/>
      <c r="F158"/>
      <c r="G158"/>
      <c r="I158" s="10" t="s">
        <v>0</v>
      </c>
      <c r="J158" s="10" t="s">
        <v>2</v>
      </c>
      <c r="K158" s="59" t="e">
        <f>C153*D168</f>
        <v>#N/A</v>
      </c>
      <c r="L158" s="59">
        <f>C153*F168</f>
        <v>0</v>
      </c>
      <c r="M158" s="2"/>
    </row>
    <row r="159" spans="1:17" hidden="1" outlineLevel="1" x14ac:dyDescent="0.25">
      <c r="I159" s="7" t="s">
        <v>24</v>
      </c>
      <c r="J159" s="10" t="s">
        <v>2</v>
      </c>
      <c r="K159" s="59" t="e">
        <f>IF(E169&gt;0,E169,D169)*C153</f>
        <v>#N/A</v>
      </c>
      <c r="L159" s="59">
        <f>C153*F169</f>
        <v>0</v>
      </c>
    </row>
    <row r="160" spans="1:17" hidden="1" outlineLevel="1" x14ac:dyDescent="0.25">
      <c r="B160" s="6" t="s">
        <v>14</v>
      </c>
      <c r="C160" s="6"/>
      <c r="D160" s="6"/>
      <c r="E160" s="6"/>
      <c r="F160" s="6"/>
      <c r="G160" s="6"/>
      <c r="I160" s="7" t="s">
        <v>29</v>
      </c>
      <c r="J160" s="10" t="s">
        <v>2</v>
      </c>
      <c r="K160" s="59" t="e">
        <f>$C153*$C155*(1/100)*IF(E163&gt;0,E163,D163)*D178</f>
        <v>#N/A</v>
      </c>
      <c r="L160" s="59" t="e">
        <f>C153*C155*(1/100)*F162*G178+IFERROR(C153*C155*(1/100)*IF(G164&gt;0,G164,F164)*F178,0)</f>
        <v>#VALUE!</v>
      </c>
    </row>
    <row r="161" spans="2:14" hidden="1" outlineLevel="1" x14ac:dyDescent="0.25">
      <c r="B161" s="9" t="s">
        <v>15</v>
      </c>
      <c r="C161" s="9" t="s">
        <v>16</v>
      </c>
      <c r="D161" s="627" t="s">
        <v>1</v>
      </c>
      <c r="E161" s="627"/>
      <c r="F161" s="636" t="s">
        <v>4</v>
      </c>
      <c r="G161" s="636"/>
      <c r="I161" s="7" t="s">
        <v>23</v>
      </c>
      <c r="J161" s="10" t="s">
        <v>2</v>
      </c>
      <c r="K161" s="60">
        <f>IFERROR(C153*D170,0)+D171</f>
        <v>0</v>
      </c>
      <c r="L161" s="60">
        <f>IFERROR(C153*F170,0)+F171</f>
        <v>0</v>
      </c>
    </row>
    <row r="162" spans="2:14" hidden="1" outlineLevel="1" x14ac:dyDescent="0.25">
      <c r="B162" s="7" t="s">
        <v>18</v>
      </c>
      <c r="C162" s="7" t="s">
        <v>5</v>
      </c>
      <c r="D162" s="615" t="s">
        <v>6</v>
      </c>
      <c r="E162" s="616"/>
      <c r="F162" s="617" t="str">
        <f>IF(Hypothèses!G13&gt;0,Hypothèses!G13,Hypothèses!E13)</f>
        <v/>
      </c>
      <c r="G162" s="617"/>
      <c r="I162" s="13" t="s">
        <v>8</v>
      </c>
      <c r="J162" s="14"/>
      <c r="K162" s="15" t="e">
        <f>K153+K157</f>
        <v>#N/A</v>
      </c>
      <c r="L162" s="15" t="e">
        <f t="shared" ref="L162" si="3">L153+L157</f>
        <v>#N/A</v>
      </c>
    </row>
    <row r="163" spans="2:14" hidden="1" outlineLevel="1" x14ac:dyDescent="0.25">
      <c r="B163" s="7" t="s">
        <v>17</v>
      </c>
      <c r="C163" s="7" t="s">
        <v>32</v>
      </c>
      <c r="D163" s="142" t="e">
        <f>VLOOKUP($E148,Sources!$B$53:$D$62,3,FALSE)</f>
        <v>#N/A</v>
      </c>
      <c r="E163" s="234"/>
      <c r="F163" s="617" t="s">
        <v>6</v>
      </c>
      <c r="G163" s="617"/>
      <c r="I163" s="7" t="s">
        <v>27</v>
      </c>
      <c r="J163" s="10" t="s">
        <v>2</v>
      </c>
      <c r="K163" s="621" t="e">
        <f>L162-K162</f>
        <v>#N/A</v>
      </c>
      <c r="L163" s="621"/>
    </row>
    <row r="164" spans="2:14" hidden="1" outlineLevel="1" x14ac:dyDescent="0.25">
      <c r="B164" s="7" t="s">
        <v>123</v>
      </c>
      <c r="C164" s="7" t="s">
        <v>7</v>
      </c>
      <c r="D164" s="615" t="s">
        <v>6</v>
      </c>
      <c r="E164" s="616"/>
      <c r="F164" s="144" t="e">
        <f>IF(E148=Sources!$B$53,15.5-F162*0.35*33.3,VLOOKUP(E148,Sources!$B$53:$D$62,2,FALSE))</f>
        <v>#N/A</v>
      </c>
      <c r="G164" s="235"/>
      <c r="I164" s="7" t="s">
        <v>27</v>
      </c>
      <c r="J164" s="10" t="s">
        <v>9</v>
      </c>
      <c r="K164" s="622">
        <f>IFERROR(K163/K162,0)</f>
        <v>0</v>
      </c>
      <c r="L164" s="622"/>
    </row>
    <row r="165" spans="2:14" hidden="1" outlineLevel="1" x14ac:dyDescent="0.25">
      <c r="B165" s="8" t="s">
        <v>19</v>
      </c>
      <c r="C165" s="10" t="s">
        <v>2</v>
      </c>
      <c r="D165" s="232" t="e">
        <f>VLOOKUP($E148,Sources!$B$14:$D$23,2,FALSE)</f>
        <v>#N/A</v>
      </c>
      <c r="E165" s="236"/>
      <c r="F165" s="232" t="e">
        <f>VLOOKUP($E148,Sources!$B$14:$D$23,3,FALSE)</f>
        <v>#N/A</v>
      </c>
      <c r="G165" s="236"/>
      <c r="I165" s="7" t="s">
        <v>27</v>
      </c>
      <c r="J165" s="16" t="s">
        <v>28</v>
      </c>
      <c r="K165" s="623">
        <f>IFERROR((L162-K162)/(C153*C155),0)</f>
        <v>0</v>
      </c>
      <c r="L165" s="623"/>
    </row>
    <row r="166" spans="2:14" hidden="1" outlineLevel="1" x14ac:dyDescent="0.25">
      <c r="B166" s="7" t="s">
        <v>20</v>
      </c>
      <c r="C166" s="81" t="s">
        <v>9</v>
      </c>
      <c r="D166" s="624" t="e">
        <f>IF(OR($C153&gt;VLOOKUP($E148,Sources!$B$82:$G$91,6,FALSE),$C153*$C155&gt;VLOOKUP($E148,Sources!$B$96:$G$105,6,FALSE)),0,MIN(VLOOKUP($E148,Sources!$B$82:$F$91,2,FALSE)*$C153^3+VLOOKUP($E148,Sources!$B$82:$F$91,3,FALSE)*$C153^2+VLOOKUP($E148,Sources!$B$82:$F$91,4,FALSE)*$C153+VLOOKUP($E148,Sources!$B$82:$F$91,5,FALSE),VLOOKUP($E148,Sources!$B$96:$F$105,2,FALSE)*($C153*$C155)^3+VLOOKUP($E148,Sources!$B$96:$F$105,3,FALSE)*($C153*$C155)^2+VLOOKUP($E148,Sources!$B$96:$F$105,4,FALSE)*$C153*$C155+VLOOKUP($E148,Sources!$B$96:$F$105,5,FALSE)))</f>
        <v>#N/A</v>
      </c>
      <c r="E166" s="625"/>
      <c r="F166" s="626" t="e">
        <f>IF(OR($C153&gt;VLOOKUP($E148,Sources!$B$82:$G$91,6,FALSE),$C153*$C155&gt;VLOOKUP($E148,Sources!$B$96:$G$105,6,FALSE)),0,(1-Sources!$D$77)*MIN(VLOOKUP($E148,Sources!$B$82:$F$91,2,FALSE)*$C153^3+VLOOKUP($E148,Sources!$B$82:$F$91,3,FALSE)*$C153^2+VLOOKUP($E148,Sources!$B$82:$F$91,4,FALSE)*$C153+VLOOKUP($E148,Sources!$B$82:$F$91,5,FALSE),VLOOKUP($E148,Sources!$B$96:$F$105,2,FALSE)*($C153*$C155)^3+VLOOKUP($E148,Sources!$B$96:$F$105,3,FALSE)*($C153*$C155)^2+VLOOKUP($E148,Sources!$B$96:$F$105,4,FALSE)*$C153*$C155+VLOOKUP($E148,Sources!$B$96:$F$105,5,FALSE)))</f>
        <v>#N/A</v>
      </c>
      <c r="G166" s="626"/>
      <c r="I166"/>
      <c r="K166" s="3"/>
      <c r="M166" s="3"/>
      <c r="N166" s="3"/>
    </row>
    <row r="167" spans="2:14" hidden="1" outlineLevel="1" x14ac:dyDescent="0.25">
      <c r="B167" s="10" t="s">
        <v>0</v>
      </c>
      <c r="C167" s="7" t="s">
        <v>43</v>
      </c>
      <c r="D167" s="143" t="e">
        <f>VLOOKUP($E148,Sources!$B$27:$D$36,2,FALSE)</f>
        <v>#N/A</v>
      </c>
      <c r="E167" s="237"/>
      <c r="F167" s="614"/>
      <c r="G167" s="614"/>
      <c r="I167"/>
      <c r="K167" s="3"/>
      <c r="L167" s="3"/>
      <c r="N167" s="3"/>
    </row>
    <row r="168" spans="2:14" hidden="1" outlineLevel="1" x14ac:dyDescent="0.25">
      <c r="B168" s="10" t="s">
        <v>0</v>
      </c>
      <c r="C168" s="7" t="s">
        <v>34</v>
      </c>
      <c r="D168" s="615" t="e">
        <f>IF(E167&gt;0,E167,D167)*C155</f>
        <v>#N/A</v>
      </c>
      <c r="E168" s="616"/>
      <c r="F168" s="617">
        <f>F167*C155</f>
        <v>0</v>
      </c>
      <c r="G168" s="617"/>
      <c r="I168"/>
      <c r="K168" s="3"/>
      <c r="L168" s="3"/>
      <c r="N168" s="3"/>
    </row>
    <row r="169" spans="2:14" hidden="1" outlineLevel="1" x14ac:dyDescent="0.25">
      <c r="B169" s="7" t="s">
        <v>24</v>
      </c>
      <c r="C169" s="7" t="s">
        <v>34</v>
      </c>
      <c r="D169" s="232" t="e">
        <f>VLOOKUP($E148,Sources!$B$40:$D$49,2,FALSE)</f>
        <v>#N/A</v>
      </c>
      <c r="E169" s="236"/>
      <c r="F169" s="614"/>
      <c r="G169" s="614"/>
      <c r="I169"/>
      <c r="K169" s="3"/>
      <c r="L169" s="3"/>
      <c r="N169" s="3"/>
    </row>
    <row r="170" spans="2:14" hidden="1" outlineLevel="1" x14ac:dyDescent="0.25">
      <c r="B170" s="7" t="s">
        <v>26</v>
      </c>
      <c r="C170" s="7" t="s">
        <v>34</v>
      </c>
      <c r="D170" s="615">
        <v>0</v>
      </c>
      <c r="E170" s="616"/>
      <c r="F170" s="614"/>
      <c r="G170" s="614"/>
      <c r="I170"/>
      <c r="J170"/>
      <c r="K170" s="3"/>
      <c r="L170" s="3"/>
      <c r="N170" s="3"/>
    </row>
    <row r="171" spans="2:14" hidden="1" outlineLevel="1" x14ac:dyDescent="0.25">
      <c r="B171" s="7" t="s">
        <v>209</v>
      </c>
      <c r="C171" s="7" t="s">
        <v>2</v>
      </c>
      <c r="D171" s="618"/>
      <c r="E171" s="619"/>
      <c r="F171" s="614"/>
      <c r="G171" s="614"/>
      <c r="I171"/>
      <c r="J171"/>
      <c r="K171" s="3"/>
      <c r="L171" s="3"/>
      <c r="N171" s="3"/>
    </row>
    <row r="172" spans="2:14" hidden="1" outlineLevel="1" x14ac:dyDescent="0.25">
      <c r="B172" s="7" t="s">
        <v>25</v>
      </c>
      <c r="C172" s="10" t="s">
        <v>2</v>
      </c>
      <c r="D172" s="615">
        <v>0</v>
      </c>
      <c r="E172" s="616"/>
      <c r="F172" s="620">
        <f>C158+C157</f>
        <v>0</v>
      </c>
      <c r="G172" s="620"/>
      <c r="I172"/>
      <c r="J172" s="3"/>
      <c r="K172" s="3"/>
      <c r="L172" s="3"/>
      <c r="N172" s="3"/>
    </row>
    <row r="173" spans="2:14" hidden="1" outlineLevel="1" x14ac:dyDescent="0.25">
      <c r="H173"/>
      <c r="I173" s="3"/>
      <c r="J173" s="3"/>
      <c r="K173" s="3"/>
      <c r="M173" s="3"/>
    </row>
    <row r="174" spans="2:14" hidden="1" outlineLevel="1" x14ac:dyDescent="0.25">
      <c r="I174" s="3"/>
      <c r="J174" s="3"/>
      <c r="K174" s="3"/>
      <c r="M174" s="3"/>
    </row>
    <row r="175" spans="2:14" hidden="1" outlineLevel="1" x14ac:dyDescent="0.25">
      <c r="B175" s="6" t="s">
        <v>10</v>
      </c>
      <c r="C175" s="6"/>
      <c r="D175" s="6"/>
      <c r="E175" s="6"/>
      <c r="F175" s="5"/>
      <c r="G175" s="5"/>
      <c r="H175"/>
      <c r="J175" s="3"/>
      <c r="K175" s="3"/>
      <c r="M175" s="3"/>
    </row>
    <row r="176" spans="2:14" hidden="1" outlineLevel="1" x14ac:dyDescent="0.25">
      <c r="B176" s="9" t="s">
        <v>15</v>
      </c>
      <c r="C176" s="9" t="s">
        <v>16</v>
      </c>
      <c r="D176" s="627" t="s">
        <v>1</v>
      </c>
      <c r="E176" s="627"/>
      <c r="F176" s="203" t="s">
        <v>21</v>
      </c>
      <c r="G176" s="203" t="s">
        <v>4</v>
      </c>
      <c r="J176" s="3"/>
      <c r="K176" s="3"/>
      <c r="M176" s="3"/>
    </row>
    <row r="177" spans="1:17" hidden="1" outlineLevel="1" x14ac:dyDescent="0.25">
      <c r="B177" s="7" t="s">
        <v>236</v>
      </c>
      <c r="C177" s="7" t="s">
        <v>119</v>
      </c>
      <c r="D177" s="612">
        <f>IF(OR(E148=Sources!$B$14,E148=Sources!$B$15,E148=Sources!$B$23,E148=Sources!$B$24),Sources!$D$4,IF(OR(E148=Sources!$B$16,E148=Sources!$B$17,E148=Sources!$B$18),Sources!$D$6,Sources!$D$7))</f>
        <v>1.367</v>
      </c>
      <c r="E177" s="613"/>
      <c r="F177" s="140">
        <f>Sources!$C$8</f>
        <v>0.24</v>
      </c>
      <c r="J177" s="3"/>
      <c r="K177" s="3"/>
      <c r="M177" s="3"/>
    </row>
    <row r="178" spans="1:17" hidden="1" outlineLevel="1" x14ac:dyDescent="0.25">
      <c r="B178" s="7" t="s">
        <v>35</v>
      </c>
      <c r="C178" s="7" t="s">
        <v>119</v>
      </c>
      <c r="D178" s="612" t="e">
        <f>D177*(1+Sources!C$9)^(C152-2020)*(1-(1+Sources!C$9)^C153)/(-Sources!C$9*C153)</f>
        <v>#DIV/0!</v>
      </c>
      <c r="E178" s="613"/>
      <c r="F178" s="140" t="e">
        <f>Sources!C$8*(1+Sources!C$10)^(C152-2019)*(1-(1+Sources!C$10)^C153)/(-Sources!C$10*C153)</f>
        <v>#DIV/0!</v>
      </c>
      <c r="G178" s="140">
        <f>IFERROR(Hypothèses!H13*(1+L$8)^(C152-L$7)*(1-(1+L$8)^C153)/(-L$8*C153),Hypothèses!H13)</f>
        <v>0</v>
      </c>
      <c r="J178" s="3"/>
      <c r="K178" s="3"/>
      <c r="M178" s="3"/>
    </row>
    <row r="179" spans="1:17" collapsed="1" x14ac:dyDescent="0.25"/>
    <row r="180" spans="1:17" s="628" customFormat="1" ht="18.75" x14ac:dyDescent="0.3">
      <c r="A180" s="628" t="s">
        <v>58</v>
      </c>
    </row>
    <row r="181" spans="1:17" x14ac:dyDescent="0.25">
      <c r="A181" s="229">
        <f>IF(AND(F201&gt;0,C186&gt;0,IFERROR(K197,0)&gt;0),1,0)</f>
        <v>0</v>
      </c>
      <c r="B181" s="4"/>
    </row>
    <row r="182" spans="1:17" ht="18.75" x14ac:dyDescent="0.3">
      <c r="B182" s="4"/>
      <c r="E182" s="637" t="str">
        <f>IF(Hypothèses!B14&lt;&gt;0,Hypothèses!B14,"")</f>
        <v/>
      </c>
      <c r="F182" s="637"/>
      <c r="G182" s="637"/>
      <c r="H182" s="637"/>
      <c r="I182" s="637"/>
      <c r="O182" s="4"/>
    </row>
    <row r="183" spans="1:17" hidden="1" outlineLevel="1" x14ac:dyDescent="0.25">
      <c r="A183" s="4" t="s">
        <v>54</v>
      </c>
      <c r="B183" s="632" t="str">
        <f>B$13</f>
        <v>Modèle du véhicule (constructeur, nom commercial) :</v>
      </c>
      <c r="C183" s="632"/>
      <c r="D183" s="632"/>
      <c r="E183" s="614"/>
      <c r="F183" s="614"/>
      <c r="G183" s="614"/>
      <c r="H183" s="614"/>
      <c r="I183" s="614"/>
      <c r="O183" s="4"/>
    </row>
    <row r="184" spans="1:17" hidden="1" outlineLevel="1" x14ac:dyDescent="0.25">
      <c r="O184" s="4"/>
    </row>
    <row r="185" spans="1:17" hidden="1" outlineLevel="1" x14ac:dyDescent="0.25">
      <c r="B185" s="6" t="s">
        <v>13</v>
      </c>
      <c r="C185" s="6"/>
      <c r="D185" s="6"/>
      <c r="E185" s="6"/>
      <c r="F185" s="6"/>
      <c r="G185" s="6"/>
      <c r="I185" s="6" t="s">
        <v>22</v>
      </c>
      <c r="J185" s="6"/>
      <c r="K185" s="6"/>
      <c r="L185" s="6"/>
      <c r="Q185" s="4"/>
    </row>
    <row r="186" spans="1:17" hidden="1" outlineLevel="1" x14ac:dyDescent="0.25">
      <c r="B186" s="7" t="s">
        <v>36</v>
      </c>
      <c r="C186" s="230"/>
      <c r="I186" s="9" t="s">
        <v>15</v>
      </c>
      <c r="J186" s="9" t="s">
        <v>16</v>
      </c>
      <c r="K186" s="9" t="s">
        <v>1</v>
      </c>
      <c r="L186" s="9" t="s">
        <v>4</v>
      </c>
      <c r="Q186" s="4"/>
    </row>
    <row r="187" spans="1:17" hidden="1" outlineLevel="1" x14ac:dyDescent="0.25">
      <c r="B187" s="7" t="s">
        <v>240</v>
      </c>
      <c r="C187" s="231"/>
      <c r="I187" s="11" t="s">
        <v>31</v>
      </c>
      <c r="J187" s="11" t="s">
        <v>2</v>
      </c>
      <c r="K187" s="12" t="e">
        <f>SUM(K188:K190)</f>
        <v>#N/A</v>
      </c>
      <c r="L187" s="12" t="e">
        <f>SUM(L188:L190)</f>
        <v>#N/A</v>
      </c>
    </row>
    <row r="188" spans="1:17" hidden="1" outlineLevel="1" x14ac:dyDescent="0.25">
      <c r="B188" s="7" t="s">
        <v>44</v>
      </c>
      <c r="C188" s="231"/>
      <c r="I188" s="10" t="s">
        <v>3</v>
      </c>
      <c r="J188" s="10" t="s">
        <v>2</v>
      </c>
      <c r="K188" s="59" t="e">
        <f>IF(E199&gt;0,E199,D199)</f>
        <v>#N/A</v>
      </c>
      <c r="L188" s="59" t="e">
        <f>IF(G199&gt;0,G199,F199)</f>
        <v>#N/A</v>
      </c>
      <c r="M188" s="2"/>
    </row>
    <row r="189" spans="1:17" hidden="1" outlineLevel="1" x14ac:dyDescent="0.25">
      <c r="B189" s="7" t="s">
        <v>11</v>
      </c>
      <c r="C189" s="59">
        <f>Hypothèses!C14</f>
        <v>0</v>
      </c>
      <c r="I189" s="7" t="s">
        <v>33</v>
      </c>
      <c r="J189" s="10" t="s">
        <v>2</v>
      </c>
      <c r="K189" s="59">
        <f>-D206</f>
        <v>0</v>
      </c>
      <c r="L189" s="59">
        <f>-F206</f>
        <v>0</v>
      </c>
    </row>
    <row r="190" spans="1:17" hidden="1" outlineLevel="1" x14ac:dyDescent="0.25">
      <c r="B190" s="7" t="s">
        <v>12</v>
      </c>
      <c r="C190" s="59">
        <f>IFERROR(C189/C188,0)</f>
        <v>0</v>
      </c>
      <c r="I190" s="7" t="s">
        <v>20</v>
      </c>
      <c r="J190" s="10" t="s">
        <v>2</v>
      </c>
      <c r="K190" s="59" t="e">
        <f>-D200*K188</f>
        <v>#N/A</v>
      </c>
      <c r="L190" s="59" t="e">
        <f>-F200*L188</f>
        <v>#N/A</v>
      </c>
    </row>
    <row r="191" spans="1:17" hidden="1" outlineLevel="1" x14ac:dyDescent="0.25">
      <c r="B191" s="7" t="s">
        <v>241</v>
      </c>
      <c r="C191" s="231"/>
      <c r="F191"/>
      <c r="G191"/>
      <c r="I191" s="11" t="s">
        <v>30</v>
      </c>
      <c r="J191" s="11" t="s">
        <v>2</v>
      </c>
      <c r="K191" s="12" t="e">
        <f>SUM(K192:K195)</f>
        <v>#N/A</v>
      </c>
      <c r="L191" s="12" t="e">
        <f>SUM(L192:L195)</f>
        <v>#VALUE!</v>
      </c>
    </row>
    <row r="192" spans="1:17" hidden="1" outlineLevel="1" x14ac:dyDescent="0.25">
      <c r="B192" s="7" t="s">
        <v>242</v>
      </c>
      <c r="C192" s="231"/>
      <c r="F192"/>
      <c r="G192"/>
      <c r="I192" s="10" t="s">
        <v>0</v>
      </c>
      <c r="J192" s="10" t="s">
        <v>2</v>
      </c>
      <c r="K192" s="59" t="e">
        <f>C187*D202</f>
        <v>#N/A</v>
      </c>
      <c r="L192" s="59">
        <f>C187*F202</f>
        <v>0</v>
      </c>
      <c r="M192" s="2"/>
    </row>
    <row r="193" spans="2:14" hidden="1" outlineLevel="1" x14ac:dyDescent="0.25">
      <c r="I193" s="7" t="s">
        <v>24</v>
      </c>
      <c r="J193" s="10" t="s">
        <v>2</v>
      </c>
      <c r="K193" s="59" t="e">
        <f>IF(E203&gt;0,E203,D203)*C187</f>
        <v>#N/A</v>
      </c>
      <c r="L193" s="59">
        <f>C187*F203</f>
        <v>0</v>
      </c>
    </row>
    <row r="194" spans="2:14" hidden="1" outlineLevel="1" x14ac:dyDescent="0.25">
      <c r="B194" s="6" t="s">
        <v>14</v>
      </c>
      <c r="C194" s="6"/>
      <c r="D194" s="6"/>
      <c r="E194" s="6"/>
      <c r="F194" s="6"/>
      <c r="G194" s="6"/>
      <c r="I194" s="7" t="s">
        <v>29</v>
      </c>
      <c r="J194" s="10" t="s">
        <v>2</v>
      </c>
      <c r="K194" s="59" t="e">
        <f>$C187*$C189*(1/100)*IF(E197&gt;0,E197,D197)*D212</f>
        <v>#N/A</v>
      </c>
      <c r="L194" s="59" t="e">
        <f>C187*C189*(1/100)*F196*G212+IFERROR(C187*C189*(1/100)*IF(G198&gt;0,G198,F198)*F212,0)</f>
        <v>#VALUE!</v>
      </c>
    </row>
    <row r="195" spans="2:14" hidden="1" outlineLevel="1" x14ac:dyDescent="0.25">
      <c r="B195" s="9" t="s">
        <v>15</v>
      </c>
      <c r="C195" s="9" t="s">
        <v>16</v>
      </c>
      <c r="D195" s="627" t="s">
        <v>1</v>
      </c>
      <c r="E195" s="627"/>
      <c r="F195" s="636" t="s">
        <v>4</v>
      </c>
      <c r="G195" s="636"/>
      <c r="I195" s="7" t="s">
        <v>23</v>
      </c>
      <c r="J195" s="10" t="s">
        <v>2</v>
      </c>
      <c r="K195" s="60">
        <f>IFERROR(C187*D204,0)+D205</f>
        <v>0</v>
      </c>
      <c r="L195" s="60">
        <f>IFERROR(C187*F204,0)+F205</f>
        <v>0</v>
      </c>
    </row>
    <row r="196" spans="2:14" hidden="1" outlineLevel="1" x14ac:dyDescent="0.25">
      <c r="B196" s="7" t="s">
        <v>18</v>
      </c>
      <c r="C196" s="7" t="s">
        <v>5</v>
      </c>
      <c r="D196" s="615" t="s">
        <v>6</v>
      </c>
      <c r="E196" s="616"/>
      <c r="F196" s="617" t="str">
        <f>IF(Hypothèses!G14&gt;0,Hypothèses!G14,Hypothèses!E14)</f>
        <v/>
      </c>
      <c r="G196" s="617"/>
      <c r="I196" s="13" t="s">
        <v>8</v>
      </c>
      <c r="J196" s="14"/>
      <c r="K196" s="15" t="e">
        <f>K187+K191</f>
        <v>#N/A</v>
      </c>
      <c r="L196" s="15" t="e">
        <f t="shared" ref="L196" si="4">L187+L191</f>
        <v>#N/A</v>
      </c>
    </row>
    <row r="197" spans="2:14" hidden="1" outlineLevel="1" x14ac:dyDescent="0.25">
      <c r="B197" s="7" t="s">
        <v>17</v>
      </c>
      <c r="C197" s="7" t="s">
        <v>32</v>
      </c>
      <c r="D197" s="142" t="e">
        <f>VLOOKUP($E182,Sources!$B$53:$D$62,3,FALSE)</f>
        <v>#N/A</v>
      </c>
      <c r="E197" s="234"/>
      <c r="F197" s="617" t="s">
        <v>6</v>
      </c>
      <c r="G197" s="617"/>
      <c r="I197" s="7" t="s">
        <v>27</v>
      </c>
      <c r="J197" s="10" t="s">
        <v>2</v>
      </c>
      <c r="K197" s="621" t="e">
        <f>L196-K196</f>
        <v>#N/A</v>
      </c>
      <c r="L197" s="621"/>
    </row>
    <row r="198" spans="2:14" hidden="1" outlineLevel="1" x14ac:dyDescent="0.25">
      <c r="B198" s="7" t="s">
        <v>123</v>
      </c>
      <c r="C198" s="7" t="s">
        <v>7</v>
      </c>
      <c r="D198" s="615" t="s">
        <v>6</v>
      </c>
      <c r="E198" s="616"/>
      <c r="F198" s="144" t="e">
        <f>IF(E182=Sources!$B$53,15.5-F196*0.35*33.3,VLOOKUP(E182,Sources!$B$53:$D$62,2,FALSE))</f>
        <v>#N/A</v>
      </c>
      <c r="G198" s="235"/>
      <c r="I198" s="7" t="s">
        <v>27</v>
      </c>
      <c r="J198" s="10" t="s">
        <v>9</v>
      </c>
      <c r="K198" s="622">
        <f>IFERROR(K197/K196,0)</f>
        <v>0</v>
      </c>
      <c r="L198" s="622"/>
    </row>
    <row r="199" spans="2:14" hidden="1" outlineLevel="1" x14ac:dyDescent="0.25">
      <c r="B199" s="8" t="s">
        <v>19</v>
      </c>
      <c r="C199" s="10" t="s">
        <v>2</v>
      </c>
      <c r="D199" s="232" t="e">
        <f>VLOOKUP($E182,Sources!$B$14:$D$23,2,FALSE)</f>
        <v>#N/A</v>
      </c>
      <c r="E199" s="236"/>
      <c r="F199" s="232" t="e">
        <f>VLOOKUP($E182,Sources!$B$14:$D$23,3,FALSE)</f>
        <v>#N/A</v>
      </c>
      <c r="G199" s="236"/>
      <c r="I199" s="7" t="s">
        <v>27</v>
      </c>
      <c r="J199" s="16" t="s">
        <v>28</v>
      </c>
      <c r="K199" s="623">
        <f>IFERROR((L196-K196)/(C187*C189),0)</f>
        <v>0</v>
      </c>
      <c r="L199" s="623"/>
    </row>
    <row r="200" spans="2:14" hidden="1" outlineLevel="1" x14ac:dyDescent="0.25">
      <c r="B200" s="7" t="s">
        <v>20</v>
      </c>
      <c r="C200" s="81" t="s">
        <v>9</v>
      </c>
      <c r="D200" s="624" t="e">
        <f>IF(OR($C187&gt;VLOOKUP($E182,Sources!$B$82:$G$91,6,FALSE),$C187*$C189&gt;VLOOKUP($E182,Sources!$B$96:$G$105,6,FALSE)),0,MIN(VLOOKUP($E182,Sources!$B$82:$F$91,2,FALSE)*$C187^3+VLOOKUP($E182,Sources!$B$82:$F$91,3,FALSE)*$C187^2+VLOOKUP($E182,Sources!$B$82:$F$91,4,FALSE)*$C187+VLOOKUP($E182,Sources!$B$82:$F$91,5,FALSE),VLOOKUP($E182,Sources!$B$96:$F$105,2,FALSE)*($C187*$C189)^3+VLOOKUP($E182,Sources!$B$96:$F$105,3,FALSE)*($C187*$C189)^2+VLOOKUP($E182,Sources!$B$96:$F$105,4,FALSE)*$C187*$C189+VLOOKUP($E182,Sources!$B$96:$F$105,5,FALSE)))</f>
        <v>#N/A</v>
      </c>
      <c r="E200" s="625"/>
      <c r="F200" s="626" t="e">
        <f>IF(OR($C187&gt;VLOOKUP($E182,Sources!$B$82:$G$91,6,FALSE),$C187*$C189&gt;VLOOKUP($E182,Sources!$B$96:$G$105,6,FALSE)),0,(1-Sources!$D$77)*MIN(VLOOKUP($E182,Sources!$B$82:$F$91,2,FALSE)*$C187^3+VLOOKUP($E182,Sources!$B$82:$F$91,3,FALSE)*$C187^2+VLOOKUP($E182,Sources!$B$82:$F$91,4,FALSE)*$C187+VLOOKUP($E182,Sources!$B$82:$F$91,5,FALSE),VLOOKUP($E182,Sources!$B$96:$F$105,2,FALSE)*($C187*$C189)^3+VLOOKUP($E182,Sources!$B$96:$F$105,3,FALSE)*($C187*$C189)^2+VLOOKUP($E182,Sources!$B$96:$F$105,4,FALSE)*$C187*$C189+VLOOKUP($E182,Sources!$B$96:$F$105,5,FALSE)))</f>
        <v>#N/A</v>
      </c>
      <c r="G200" s="626"/>
      <c r="I200"/>
      <c r="K200" s="3"/>
      <c r="M200" s="3"/>
      <c r="N200" s="3"/>
    </row>
    <row r="201" spans="2:14" hidden="1" outlineLevel="1" x14ac:dyDescent="0.25">
      <c r="B201" s="10" t="s">
        <v>0</v>
      </c>
      <c r="C201" s="7" t="s">
        <v>43</v>
      </c>
      <c r="D201" s="143" t="e">
        <f>VLOOKUP($E182,Sources!$B$27:$D$36,2,FALSE)</f>
        <v>#N/A</v>
      </c>
      <c r="E201" s="237"/>
      <c r="F201" s="614"/>
      <c r="G201" s="614"/>
      <c r="I201"/>
      <c r="K201" s="3"/>
      <c r="L201" s="3"/>
      <c r="N201" s="3"/>
    </row>
    <row r="202" spans="2:14" hidden="1" outlineLevel="1" x14ac:dyDescent="0.25">
      <c r="B202" s="10" t="s">
        <v>0</v>
      </c>
      <c r="C202" s="7" t="s">
        <v>34</v>
      </c>
      <c r="D202" s="615" t="e">
        <f>IF(E201&gt;0,E201,D201)*C189</f>
        <v>#N/A</v>
      </c>
      <c r="E202" s="616"/>
      <c r="F202" s="617">
        <f>F201*C189</f>
        <v>0</v>
      </c>
      <c r="G202" s="617"/>
      <c r="I202"/>
      <c r="K202" s="3"/>
      <c r="L202" s="3"/>
      <c r="N202" s="3"/>
    </row>
    <row r="203" spans="2:14" hidden="1" outlineLevel="1" x14ac:dyDescent="0.25">
      <c r="B203" s="7" t="s">
        <v>24</v>
      </c>
      <c r="C203" s="7" t="s">
        <v>34</v>
      </c>
      <c r="D203" s="232" t="e">
        <f>VLOOKUP($E182,Sources!$B$40:$D$49,2,FALSE)</f>
        <v>#N/A</v>
      </c>
      <c r="E203" s="236"/>
      <c r="F203" s="614"/>
      <c r="G203" s="614"/>
      <c r="I203"/>
      <c r="K203" s="3"/>
      <c r="L203" s="3"/>
      <c r="N203" s="3"/>
    </row>
    <row r="204" spans="2:14" hidden="1" outlineLevel="1" x14ac:dyDescent="0.25">
      <c r="B204" s="7" t="s">
        <v>26</v>
      </c>
      <c r="C204" s="7" t="s">
        <v>34</v>
      </c>
      <c r="D204" s="615">
        <v>0</v>
      </c>
      <c r="E204" s="616"/>
      <c r="F204" s="614"/>
      <c r="G204" s="614"/>
      <c r="I204"/>
      <c r="J204"/>
      <c r="K204" s="3"/>
      <c r="L204" s="3"/>
      <c r="N204" s="3"/>
    </row>
    <row r="205" spans="2:14" hidden="1" outlineLevel="1" x14ac:dyDescent="0.25">
      <c r="B205" s="7" t="s">
        <v>209</v>
      </c>
      <c r="C205" s="7" t="s">
        <v>2</v>
      </c>
      <c r="D205" s="618"/>
      <c r="E205" s="619"/>
      <c r="F205" s="614"/>
      <c r="G205" s="614"/>
      <c r="I205"/>
      <c r="J205"/>
      <c r="K205" s="3"/>
      <c r="L205" s="3"/>
      <c r="N205" s="3"/>
    </row>
    <row r="206" spans="2:14" hidden="1" outlineLevel="1" x14ac:dyDescent="0.25">
      <c r="B206" s="7" t="s">
        <v>25</v>
      </c>
      <c r="C206" s="10" t="s">
        <v>2</v>
      </c>
      <c r="D206" s="615">
        <v>0</v>
      </c>
      <c r="E206" s="616"/>
      <c r="F206" s="620">
        <f>C192+C191</f>
        <v>0</v>
      </c>
      <c r="G206" s="620"/>
      <c r="I206"/>
      <c r="J206" s="3"/>
      <c r="K206" s="3"/>
      <c r="L206" s="3"/>
      <c r="N206" s="3"/>
    </row>
    <row r="207" spans="2:14" hidden="1" outlineLevel="1" x14ac:dyDescent="0.25">
      <c r="H207"/>
      <c r="I207" s="3"/>
      <c r="J207" s="3"/>
      <c r="K207" s="3"/>
      <c r="M207" s="3"/>
    </row>
    <row r="208" spans="2:14" hidden="1" outlineLevel="1" x14ac:dyDescent="0.25">
      <c r="I208" s="3"/>
      <c r="J208" s="3"/>
      <c r="K208" s="3"/>
      <c r="M208" s="3"/>
    </row>
    <row r="209" spans="1:17" hidden="1" outlineLevel="1" x14ac:dyDescent="0.25">
      <c r="B209" s="6" t="s">
        <v>10</v>
      </c>
      <c r="C209" s="6"/>
      <c r="D209" s="6"/>
      <c r="E209" s="6"/>
      <c r="F209" s="5"/>
      <c r="G209" s="5"/>
      <c r="H209"/>
      <c r="J209" s="3"/>
      <c r="K209" s="3"/>
      <c r="M209" s="3"/>
    </row>
    <row r="210" spans="1:17" hidden="1" outlineLevel="1" x14ac:dyDescent="0.25">
      <c r="B210" s="9" t="s">
        <v>15</v>
      </c>
      <c r="C210" s="9" t="s">
        <v>16</v>
      </c>
      <c r="D210" s="627" t="s">
        <v>1</v>
      </c>
      <c r="E210" s="627"/>
      <c r="F210" s="203" t="s">
        <v>21</v>
      </c>
      <c r="G210" s="203" t="s">
        <v>4</v>
      </c>
      <c r="J210" s="3"/>
      <c r="K210" s="3"/>
      <c r="M210" s="3"/>
    </row>
    <row r="211" spans="1:17" hidden="1" outlineLevel="1" x14ac:dyDescent="0.25">
      <c r="B211" s="7" t="s">
        <v>236</v>
      </c>
      <c r="C211" s="7" t="s">
        <v>119</v>
      </c>
      <c r="D211" s="612">
        <f>IF(OR(E182=Sources!$B$14,E182=Sources!$B$15,E182=Sources!$B$23,E182=Sources!$B$24),Sources!$D$4,IF(OR(E182=Sources!$B$16,E182=Sources!$B$17,E182=Sources!$B$18),Sources!$D$6,Sources!$D$7))</f>
        <v>1.367</v>
      </c>
      <c r="E211" s="613"/>
      <c r="F211" s="140">
        <f>Sources!$C$8</f>
        <v>0.24</v>
      </c>
      <c r="J211" s="3"/>
      <c r="K211" s="3"/>
      <c r="M211" s="3"/>
    </row>
    <row r="212" spans="1:17" hidden="1" outlineLevel="1" x14ac:dyDescent="0.25">
      <c r="B212" s="7" t="s">
        <v>35</v>
      </c>
      <c r="C212" s="7" t="s">
        <v>119</v>
      </c>
      <c r="D212" s="612" t="e">
        <f>D211*(1+Sources!C$9)^(C186-2020)*(1-(1+Sources!C$9)^C187)/(-Sources!C$9*C187)</f>
        <v>#DIV/0!</v>
      </c>
      <c r="E212" s="613"/>
      <c r="F212" s="140" t="e">
        <f>Sources!C$8*(1+Sources!C$10)^(C186-2019)*(1-(1+Sources!C$10)^C187)/(-Sources!C$10*C187)</f>
        <v>#DIV/0!</v>
      </c>
      <c r="G212" s="140">
        <f>IFERROR(Hypothèses!H14*(1+L$8)^(C186-L$7)*(1-(1+L$8)^C187)/(-L$8*C187),Hypothèses!H14)</f>
        <v>0</v>
      </c>
      <c r="J212" s="3"/>
      <c r="K212" s="3"/>
      <c r="M212" s="3"/>
    </row>
    <row r="213" spans="1:17" collapsed="1" x14ac:dyDescent="0.25"/>
    <row r="214" spans="1:17" s="628" customFormat="1" ht="18.75" x14ac:dyDescent="0.3">
      <c r="A214" s="628" t="s">
        <v>59</v>
      </c>
    </row>
    <row r="215" spans="1:17" x14ac:dyDescent="0.25">
      <c r="A215" s="229">
        <f>IF(AND(F235&gt;0,C220&gt;0,IFERROR(K231,0)&gt;0),1,0)</f>
        <v>0</v>
      </c>
      <c r="B215" s="4"/>
    </row>
    <row r="216" spans="1:17" ht="18.75" x14ac:dyDescent="0.3">
      <c r="B216" s="4"/>
      <c r="E216" s="637" t="str">
        <f>IF(Hypothèses!B15&lt;&gt;0,Hypothèses!B15,"")</f>
        <v/>
      </c>
      <c r="F216" s="637"/>
      <c r="G216" s="637"/>
      <c r="H216" s="637"/>
      <c r="I216" s="637"/>
      <c r="O216" s="4"/>
    </row>
    <row r="217" spans="1:17" hidden="1" outlineLevel="1" x14ac:dyDescent="0.25">
      <c r="A217" s="4" t="s">
        <v>54</v>
      </c>
      <c r="B217" s="632" t="str">
        <f>B$13</f>
        <v>Modèle du véhicule (constructeur, nom commercial) :</v>
      </c>
      <c r="C217" s="632"/>
      <c r="D217" s="632"/>
      <c r="E217" s="614"/>
      <c r="F217" s="614"/>
      <c r="G217" s="614"/>
      <c r="H217" s="614"/>
      <c r="I217" s="614"/>
      <c r="O217" s="4"/>
    </row>
    <row r="218" spans="1:17" hidden="1" outlineLevel="1" x14ac:dyDescent="0.25">
      <c r="O218" s="4"/>
    </row>
    <row r="219" spans="1:17" hidden="1" outlineLevel="1" x14ac:dyDescent="0.25">
      <c r="B219" s="6" t="s">
        <v>13</v>
      </c>
      <c r="C219" s="6"/>
      <c r="D219" s="6"/>
      <c r="E219" s="6"/>
      <c r="F219" s="6"/>
      <c r="G219" s="6"/>
      <c r="I219" s="6" t="s">
        <v>22</v>
      </c>
      <c r="J219" s="6"/>
      <c r="K219" s="6"/>
      <c r="L219" s="6"/>
      <c r="Q219" s="4"/>
    </row>
    <row r="220" spans="1:17" hidden="1" outlineLevel="1" x14ac:dyDescent="0.25">
      <c r="B220" s="7" t="s">
        <v>36</v>
      </c>
      <c r="C220" s="230"/>
      <c r="I220" s="9" t="s">
        <v>15</v>
      </c>
      <c r="J220" s="9" t="s">
        <v>16</v>
      </c>
      <c r="K220" s="9" t="s">
        <v>1</v>
      </c>
      <c r="L220" s="9" t="s">
        <v>4</v>
      </c>
      <c r="Q220" s="4"/>
    </row>
    <row r="221" spans="1:17" hidden="1" outlineLevel="1" x14ac:dyDescent="0.25">
      <c r="B221" s="7" t="s">
        <v>240</v>
      </c>
      <c r="C221" s="231"/>
      <c r="I221" s="11" t="s">
        <v>31</v>
      </c>
      <c r="J221" s="11" t="s">
        <v>2</v>
      </c>
      <c r="K221" s="12" t="e">
        <f>SUM(K222:K224)</f>
        <v>#N/A</v>
      </c>
      <c r="L221" s="12" t="e">
        <f>SUM(L222:L224)</f>
        <v>#N/A</v>
      </c>
    </row>
    <row r="222" spans="1:17" hidden="1" outlineLevel="1" x14ac:dyDescent="0.25">
      <c r="B222" s="7" t="s">
        <v>44</v>
      </c>
      <c r="C222" s="231"/>
      <c r="I222" s="10" t="s">
        <v>3</v>
      </c>
      <c r="J222" s="10" t="s">
        <v>2</v>
      </c>
      <c r="K222" s="59" t="e">
        <f>IF(E233&gt;0,E233,D233)</f>
        <v>#N/A</v>
      </c>
      <c r="L222" s="59" t="e">
        <f>IF(G233&gt;0,G233,F233)</f>
        <v>#N/A</v>
      </c>
      <c r="M222" s="2"/>
    </row>
    <row r="223" spans="1:17" hidden="1" outlineLevel="1" x14ac:dyDescent="0.25">
      <c r="B223" s="7" t="s">
        <v>11</v>
      </c>
      <c r="C223" s="59">
        <f>Hypothèses!C15</f>
        <v>0</v>
      </c>
      <c r="I223" s="7" t="s">
        <v>33</v>
      </c>
      <c r="J223" s="10" t="s">
        <v>2</v>
      </c>
      <c r="K223" s="59">
        <f>-D240</f>
        <v>0</v>
      </c>
      <c r="L223" s="59">
        <f>-F240</f>
        <v>0</v>
      </c>
    </row>
    <row r="224" spans="1:17" hidden="1" outlineLevel="1" x14ac:dyDescent="0.25">
      <c r="B224" s="7" t="s">
        <v>12</v>
      </c>
      <c r="C224" s="59">
        <f>IFERROR(C223/C222,0)</f>
        <v>0</v>
      </c>
      <c r="I224" s="7" t="s">
        <v>20</v>
      </c>
      <c r="J224" s="10" t="s">
        <v>2</v>
      </c>
      <c r="K224" s="59" t="e">
        <f>-D234*K222</f>
        <v>#N/A</v>
      </c>
      <c r="L224" s="59" t="e">
        <f>-F234*L222</f>
        <v>#N/A</v>
      </c>
    </row>
    <row r="225" spans="2:14" hidden="1" outlineLevel="1" x14ac:dyDescent="0.25">
      <c r="B225" s="7" t="s">
        <v>241</v>
      </c>
      <c r="C225" s="231"/>
      <c r="F225"/>
      <c r="G225"/>
      <c r="I225" s="11" t="s">
        <v>30</v>
      </c>
      <c r="J225" s="11" t="s">
        <v>2</v>
      </c>
      <c r="K225" s="12" t="e">
        <f>SUM(K226:K229)</f>
        <v>#N/A</v>
      </c>
      <c r="L225" s="12" t="e">
        <f>SUM(L226:L229)</f>
        <v>#VALUE!</v>
      </c>
    </row>
    <row r="226" spans="2:14" hidden="1" outlineLevel="1" x14ac:dyDescent="0.25">
      <c r="B226" s="7" t="s">
        <v>242</v>
      </c>
      <c r="C226" s="231"/>
      <c r="F226"/>
      <c r="G226"/>
      <c r="I226" s="10" t="s">
        <v>0</v>
      </c>
      <c r="J226" s="10" t="s">
        <v>2</v>
      </c>
      <c r="K226" s="59" t="e">
        <f>C221*D236</f>
        <v>#N/A</v>
      </c>
      <c r="L226" s="59">
        <f>C221*F236</f>
        <v>0</v>
      </c>
      <c r="M226" s="2"/>
    </row>
    <row r="227" spans="2:14" hidden="1" outlineLevel="1" x14ac:dyDescent="0.25">
      <c r="I227" s="7" t="s">
        <v>24</v>
      </c>
      <c r="J227" s="10" t="s">
        <v>2</v>
      </c>
      <c r="K227" s="59" t="e">
        <f>IF(E237&gt;0,E237,D237)*C221</f>
        <v>#N/A</v>
      </c>
      <c r="L227" s="59">
        <f>C221*F237</f>
        <v>0</v>
      </c>
    </row>
    <row r="228" spans="2:14" hidden="1" outlineLevel="1" x14ac:dyDescent="0.25">
      <c r="B228" s="6" t="s">
        <v>14</v>
      </c>
      <c r="C228" s="6"/>
      <c r="D228" s="6"/>
      <c r="E228" s="6"/>
      <c r="F228" s="6"/>
      <c r="G228" s="6"/>
      <c r="I228" s="7" t="s">
        <v>29</v>
      </c>
      <c r="J228" s="10" t="s">
        <v>2</v>
      </c>
      <c r="K228" s="59" t="e">
        <f>$C221*$C223*(1/100)*IF(E231&gt;0,E231,D231)*D246</f>
        <v>#N/A</v>
      </c>
      <c r="L228" s="59" t="e">
        <f>C221*C223*(1/100)*F230*G246+IFERROR(C221*C223*(1/100)*IF(G232&gt;0,G232,F232)*F246,0)</f>
        <v>#VALUE!</v>
      </c>
    </row>
    <row r="229" spans="2:14" hidden="1" outlineLevel="1" x14ac:dyDescent="0.25">
      <c r="B229" s="9" t="s">
        <v>15</v>
      </c>
      <c r="C229" s="9" t="s">
        <v>16</v>
      </c>
      <c r="D229" s="627" t="s">
        <v>1</v>
      </c>
      <c r="E229" s="627"/>
      <c r="F229" s="627" t="s">
        <v>4</v>
      </c>
      <c r="G229" s="627"/>
      <c r="I229" s="7" t="s">
        <v>23</v>
      </c>
      <c r="J229" s="10" t="s">
        <v>2</v>
      </c>
      <c r="K229" s="60">
        <f>IFERROR(C221*D238,0)+D239</f>
        <v>0</v>
      </c>
      <c r="L229" s="60">
        <f>IFERROR(C221*F238,0)+F239</f>
        <v>0</v>
      </c>
    </row>
    <row r="230" spans="2:14" hidden="1" outlineLevel="1" x14ac:dyDescent="0.25">
      <c r="B230" s="7" t="s">
        <v>18</v>
      </c>
      <c r="C230" s="7" t="s">
        <v>5</v>
      </c>
      <c r="D230" s="615" t="s">
        <v>6</v>
      </c>
      <c r="E230" s="616"/>
      <c r="F230" s="617" t="str">
        <f>IF(Hypothèses!G15&gt;0,Hypothèses!G15,Hypothèses!E15)</f>
        <v/>
      </c>
      <c r="G230" s="617"/>
      <c r="I230" s="13" t="s">
        <v>8</v>
      </c>
      <c r="J230" s="14"/>
      <c r="K230" s="15" t="e">
        <f>K221+K225</f>
        <v>#N/A</v>
      </c>
      <c r="L230" s="15" t="e">
        <f t="shared" ref="L230" si="5">L221+L225</f>
        <v>#N/A</v>
      </c>
    </row>
    <row r="231" spans="2:14" hidden="1" outlineLevel="1" x14ac:dyDescent="0.25">
      <c r="B231" s="7" t="s">
        <v>17</v>
      </c>
      <c r="C231" s="7" t="s">
        <v>32</v>
      </c>
      <c r="D231" s="142" t="e">
        <f>VLOOKUP($E216,Sources!$B$53:$D$62,3,FALSE)</f>
        <v>#N/A</v>
      </c>
      <c r="E231" s="234"/>
      <c r="F231" s="617" t="s">
        <v>6</v>
      </c>
      <c r="G231" s="617"/>
      <c r="I231" s="7" t="s">
        <v>27</v>
      </c>
      <c r="J231" s="10" t="s">
        <v>2</v>
      </c>
      <c r="K231" s="621" t="e">
        <f>L230-K230</f>
        <v>#N/A</v>
      </c>
      <c r="L231" s="621"/>
    </row>
    <row r="232" spans="2:14" hidden="1" outlineLevel="1" x14ac:dyDescent="0.25">
      <c r="B232" s="7" t="s">
        <v>123</v>
      </c>
      <c r="C232" s="7" t="s">
        <v>7</v>
      </c>
      <c r="D232" s="615" t="s">
        <v>6</v>
      </c>
      <c r="E232" s="616"/>
      <c r="F232" s="144" t="e">
        <f>IF(E216=Sources!$B$53,15.5-F230*0.35*33.3,VLOOKUP(E216,Sources!$B$53:$D$62,2,FALSE))</f>
        <v>#N/A</v>
      </c>
      <c r="G232" s="235"/>
      <c r="I232" s="7" t="s">
        <v>27</v>
      </c>
      <c r="J232" s="10" t="s">
        <v>9</v>
      </c>
      <c r="K232" s="622">
        <f>IFERROR(K231/K230,0)</f>
        <v>0</v>
      </c>
      <c r="L232" s="622"/>
    </row>
    <row r="233" spans="2:14" hidden="1" outlineLevel="1" x14ac:dyDescent="0.25">
      <c r="B233" s="8" t="s">
        <v>19</v>
      </c>
      <c r="C233" s="10" t="s">
        <v>2</v>
      </c>
      <c r="D233" s="232" t="e">
        <f>VLOOKUP($E216,Sources!$B$14:$D$23,2,FALSE)</f>
        <v>#N/A</v>
      </c>
      <c r="E233" s="236"/>
      <c r="F233" s="232" t="e">
        <f>VLOOKUP($E216,Sources!$B$14:$D$23,3,FALSE)</f>
        <v>#N/A</v>
      </c>
      <c r="G233" s="236"/>
      <c r="I233" s="7" t="s">
        <v>27</v>
      </c>
      <c r="J233" s="16" t="s">
        <v>28</v>
      </c>
      <c r="K233" s="623">
        <f>IFERROR((L230-K230)/(C221*C223),0)</f>
        <v>0</v>
      </c>
      <c r="L233" s="623"/>
    </row>
    <row r="234" spans="2:14" hidden="1" outlineLevel="1" x14ac:dyDescent="0.25">
      <c r="B234" s="7" t="s">
        <v>20</v>
      </c>
      <c r="C234" s="81" t="s">
        <v>9</v>
      </c>
      <c r="D234" s="624" t="e">
        <f>IF(OR($C221&gt;VLOOKUP($E216,Sources!$B$82:$G$91,6,FALSE),$C221*$C223&gt;VLOOKUP($E216,Sources!$B$96:$G$105,6,FALSE)),0,MIN(VLOOKUP($E216,Sources!$B$82:$F$91,2,FALSE)*$C221^3+VLOOKUP($E216,Sources!$B$82:$F$91,3,FALSE)*$C221^2+VLOOKUP($E216,Sources!$B$82:$F$91,4,FALSE)*$C221+VLOOKUP($E216,Sources!$B$82:$F$91,5,FALSE),VLOOKUP($E216,Sources!$B$96:$F$105,2,FALSE)*($C221*$C223)^3+VLOOKUP($E216,Sources!$B$96:$F$105,3,FALSE)*($C221*$C223)^2+VLOOKUP($E216,Sources!$B$96:$F$105,4,FALSE)*$C221*$C223+VLOOKUP($E216,Sources!$B$96:$F$105,5,FALSE)))</f>
        <v>#N/A</v>
      </c>
      <c r="E234" s="625"/>
      <c r="F234" s="626" t="e">
        <f>IF(OR($C221&gt;VLOOKUP($E216,Sources!$B$82:$G$91,6,FALSE),$C221*$C223&gt;VLOOKUP($E216,Sources!$B$96:$G$105,6,FALSE)),0,(1-Sources!$D$77)*MIN(VLOOKUP($E216,Sources!$B$82:$F$91,2,FALSE)*$C221^3+VLOOKUP($E216,Sources!$B$82:$F$91,3,FALSE)*$C221^2+VLOOKUP($E216,Sources!$B$82:$F$91,4,FALSE)*$C221+VLOOKUP($E216,Sources!$B$82:$F$91,5,FALSE),VLOOKUP($E216,Sources!$B$96:$F$105,2,FALSE)*($C221*$C223)^3+VLOOKUP($E216,Sources!$B$96:$F$105,3,FALSE)*($C221*$C223)^2+VLOOKUP($E216,Sources!$B$96:$F$105,4,FALSE)*$C221*$C223+VLOOKUP($E216,Sources!$B$96:$F$105,5,FALSE)))</f>
        <v>#N/A</v>
      </c>
      <c r="G234" s="626"/>
      <c r="I234"/>
      <c r="K234" s="3"/>
      <c r="M234" s="3"/>
      <c r="N234" s="3"/>
    </row>
    <row r="235" spans="2:14" hidden="1" outlineLevel="1" x14ac:dyDescent="0.25">
      <c r="B235" s="10" t="s">
        <v>0</v>
      </c>
      <c r="C235" s="7" t="s">
        <v>43</v>
      </c>
      <c r="D235" s="143" t="e">
        <f>VLOOKUP($E216,Sources!$B$27:$D$36,2,FALSE)</f>
        <v>#N/A</v>
      </c>
      <c r="E235" s="237"/>
      <c r="F235" s="614"/>
      <c r="G235" s="614"/>
      <c r="I235"/>
      <c r="K235" s="3"/>
      <c r="L235" s="3"/>
      <c r="N235" s="3"/>
    </row>
    <row r="236" spans="2:14" hidden="1" outlineLevel="1" x14ac:dyDescent="0.25">
      <c r="B236" s="10" t="s">
        <v>0</v>
      </c>
      <c r="C236" s="7" t="s">
        <v>34</v>
      </c>
      <c r="D236" s="615" t="e">
        <f>IF(E235&gt;0,E235,D235)*C223</f>
        <v>#N/A</v>
      </c>
      <c r="E236" s="616"/>
      <c r="F236" s="617">
        <f>F235*C223</f>
        <v>0</v>
      </c>
      <c r="G236" s="617"/>
      <c r="I236"/>
      <c r="K236" s="3"/>
      <c r="L236" s="3"/>
      <c r="N236" s="3"/>
    </row>
    <row r="237" spans="2:14" hidden="1" outlineLevel="1" x14ac:dyDescent="0.25">
      <c r="B237" s="7" t="s">
        <v>24</v>
      </c>
      <c r="C237" s="7" t="s">
        <v>34</v>
      </c>
      <c r="D237" s="232" t="e">
        <f>VLOOKUP($E216,Sources!$B$40:$D$49,2,FALSE)</f>
        <v>#N/A</v>
      </c>
      <c r="E237" s="236"/>
      <c r="F237" s="614"/>
      <c r="G237" s="614"/>
      <c r="I237"/>
      <c r="K237" s="3"/>
      <c r="L237" s="3"/>
      <c r="N237" s="3"/>
    </row>
    <row r="238" spans="2:14" hidden="1" outlineLevel="1" x14ac:dyDescent="0.25">
      <c r="B238" s="7" t="s">
        <v>26</v>
      </c>
      <c r="C238" s="7" t="s">
        <v>34</v>
      </c>
      <c r="D238" s="615">
        <v>0</v>
      </c>
      <c r="E238" s="616"/>
      <c r="F238" s="614"/>
      <c r="G238" s="614"/>
      <c r="I238"/>
      <c r="J238"/>
      <c r="K238" s="3"/>
      <c r="L238" s="3"/>
      <c r="N238" s="3"/>
    </row>
    <row r="239" spans="2:14" hidden="1" outlineLevel="1" x14ac:dyDescent="0.25">
      <c r="B239" s="7" t="s">
        <v>209</v>
      </c>
      <c r="C239" s="7" t="s">
        <v>2</v>
      </c>
      <c r="D239" s="618"/>
      <c r="E239" s="619"/>
      <c r="F239" s="614"/>
      <c r="G239" s="614"/>
      <c r="I239"/>
      <c r="J239"/>
      <c r="K239" s="3"/>
      <c r="L239" s="3"/>
      <c r="N239" s="3"/>
    </row>
    <row r="240" spans="2:14" hidden="1" outlineLevel="1" x14ac:dyDescent="0.25">
      <c r="B240" s="7" t="s">
        <v>25</v>
      </c>
      <c r="C240" s="10" t="s">
        <v>2</v>
      </c>
      <c r="D240" s="615">
        <v>0</v>
      </c>
      <c r="E240" s="616"/>
      <c r="F240" s="620">
        <f>C226+C225</f>
        <v>0</v>
      </c>
      <c r="G240" s="620"/>
      <c r="I240"/>
      <c r="J240" s="3"/>
      <c r="K240" s="3"/>
      <c r="L240" s="3"/>
      <c r="N240" s="3"/>
    </row>
    <row r="241" spans="1:17" hidden="1" outlineLevel="1" x14ac:dyDescent="0.25">
      <c r="D241" s="82"/>
      <c r="E241" s="82"/>
      <c r="F241" s="82"/>
      <c r="H241"/>
      <c r="I241" s="3"/>
      <c r="J241" s="3"/>
      <c r="K241" s="3"/>
      <c r="M241" s="3"/>
    </row>
    <row r="242" spans="1:17" hidden="1" outlineLevel="1" x14ac:dyDescent="0.25">
      <c r="I242" s="3"/>
      <c r="J242" s="3"/>
      <c r="K242" s="3"/>
      <c r="M242" s="3"/>
    </row>
    <row r="243" spans="1:17" hidden="1" outlineLevel="1" x14ac:dyDescent="0.25">
      <c r="B243" s="6" t="s">
        <v>10</v>
      </c>
      <c r="C243" s="6"/>
      <c r="D243" s="6"/>
      <c r="E243" s="6"/>
      <c r="F243" s="5"/>
      <c r="G243" s="5"/>
      <c r="H243"/>
      <c r="J243" s="3"/>
      <c r="K243" s="3"/>
      <c r="M243" s="3"/>
    </row>
    <row r="244" spans="1:17" hidden="1" outlineLevel="1" x14ac:dyDescent="0.25">
      <c r="B244" s="9" t="s">
        <v>15</v>
      </c>
      <c r="C244" s="9" t="s">
        <v>16</v>
      </c>
      <c r="D244" s="627" t="s">
        <v>1</v>
      </c>
      <c r="E244" s="627"/>
      <c r="F244" s="203" t="s">
        <v>21</v>
      </c>
      <c r="G244" s="203" t="s">
        <v>4</v>
      </c>
      <c r="J244" s="3"/>
      <c r="K244" s="3"/>
      <c r="M244" s="3"/>
    </row>
    <row r="245" spans="1:17" hidden="1" outlineLevel="1" x14ac:dyDescent="0.25">
      <c r="B245" s="7" t="s">
        <v>236</v>
      </c>
      <c r="C245" s="7" t="s">
        <v>119</v>
      </c>
      <c r="D245" s="612">
        <f>IF(OR(E216=Sources!$B$14,E216=Sources!$B$15,E216=Sources!$B$23,E216=Sources!$B$24),Sources!$D$4,IF(OR(E216=Sources!$B$16,E216=Sources!$B$17,E216=Sources!$B$18),Sources!$D$6,Sources!$D$7))</f>
        <v>1.367</v>
      </c>
      <c r="E245" s="613"/>
      <c r="F245" s="140">
        <f>Sources!$C$8</f>
        <v>0.24</v>
      </c>
      <c r="J245" s="3"/>
      <c r="K245" s="3"/>
      <c r="M245" s="3"/>
    </row>
    <row r="246" spans="1:17" hidden="1" outlineLevel="1" x14ac:dyDescent="0.25">
      <c r="B246" s="7" t="s">
        <v>35</v>
      </c>
      <c r="C246" s="7" t="s">
        <v>119</v>
      </c>
      <c r="D246" s="612" t="e">
        <f>D245*(1+Sources!C$9)^(C220-2020)*(1-(1+Sources!C$9)^C221)/(-Sources!C$9*C221)</f>
        <v>#DIV/0!</v>
      </c>
      <c r="E246" s="613"/>
      <c r="F246" s="140" t="e">
        <f>Sources!C$8*(1+Sources!C$10)^(C220-2019)*(1-(1+Sources!C$10)^C221)/(-Sources!C$10*C221)</f>
        <v>#DIV/0!</v>
      </c>
      <c r="G246" s="140">
        <f>IFERROR(Hypothèses!H15*(1+L$8)^(C220-L$7)*(1-(1+L$8)^C221)/(-L$8*C221),Hypothèses!H15)</f>
        <v>0</v>
      </c>
      <c r="J246" s="3"/>
      <c r="K246" s="3"/>
      <c r="M246" s="3"/>
    </row>
    <row r="247" spans="1:17" collapsed="1" x14ac:dyDescent="0.25"/>
    <row r="248" spans="1:17" s="628" customFormat="1" ht="18.75" x14ac:dyDescent="0.3">
      <c r="A248" s="628" t="s">
        <v>60</v>
      </c>
    </row>
    <row r="249" spans="1:17" x14ac:dyDescent="0.25">
      <c r="A249" s="229">
        <f>IF(AND(F269&gt;0,C254&gt;0,IFERROR(K265,0)&gt;0),1,0)</f>
        <v>0</v>
      </c>
      <c r="B249" s="4"/>
    </row>
    <row r="250" spans="1:17" ht="18.75" x14ac:dyDescent="0.3">
      <c r="B250" s="4"/>
      <c r="E250" s="637" t="str">
        <f>IF(Hypothèses!B16&lt;&gt;0,Hypothèses!B16,"")</f>
        <v/>
      </c>
      <c r="F250" s="637"/>
      <c r="G250" s="637"/>
      <c r="H250" s="637"/>
      <c r="I250" s="637"/>
      <c r="O250" s="4"/>
    </row>
    <row r="251" spans="1:17" hidden="1" outlineLevel="1" x14ac:dyDescent="0.25">
      <c r="A251" s="4" t="s">
        <v>54</v>
      </c>
      <c r="B251" s="632" t="str">
        <f>B$13</f>
        <v>Modèle du véhicule (constructeur, nom commercial) :</v>
      </c>
      <c r="C251" s="632"/>
      <c r="D251" s="632"/>
      <c r="E251" s="614"/>
      <c r="F251" s="614"/>
      <c r="G251" s="614"/>
      <c r="H251" s="614"/>
      <c r="I251" s="614"/>
      <c r="O251" s="4"/>
    </row>
    <row r="252" spans="1:17" hidden="1" outlineLevel="1" x14ac:dyDescent="0.25">
      <c r="O252" s="4"/>
    </row>
    <row r="253" spans="1:17" hidden="1" outlineLevel="1" x14ac:dyDescent="0.25">
      <c r="B253" s="6" t="s">
        <v>13</v>
      </c>
      <c r="C253" s="6"/>
      <c r="D253" s="6"/>
      <c r="E253" s="6"/>
      <c r="F253" s="6"/>
      <c r="G253" s="6"/>
      <c r="I253" s="6" t="s">
        <v>22</v>
      </c>
      <c r="J253" s="6"/>
      <c r="K253" s="6"/>
      <c r="L253" s="6"/>
      <c r="Q253" s="4"/>
    </row>
    <row r="254" spans="1:17" hidden="1" outlineLevel="1" x14ac:dyDescent="0.25">
      <c r="B254" s="7" t="s">
        <v>36</v>
      </c>
      <c r="C254" s="230"/>
      <c r="I254" s="9" t="s">
        <v>15</v>
      </c>
      <c r="J254" s="9" t="s">
        <v>16</v>
      </c>
      <c r="K254" s="9" t="s">
        <v>1</v>
      </c>
      <c r="L254" s="9" t="s">
        <v>4</v>
      </c>
      <c r="Q254" s="4"/>
    </row>
    <row r="255" spans="1:17" hidden="1" outlineLevel="1" x14ac:dyDescent="0.25">
      <c r="B255" s="7" t="s">
        <v>240</v>
      </c>
      <c r="C255" s="231"/>
      <c r="I255" s="11" t="s">
        <v>31</v>
      </c>
      <c r="J255" s="11" t="s">
        <v>2</v>
      </c>
      <c r="K255" s="12" t="e">
        <f>SUM(K256:K258)</f>
        <v>#N/A</v>
      </c>
      <c r="L255" s="12" t="e">
        <f>SUM(L256:L258)</f>
        <v>#N/A</v>
      </c>
    </row>
    <row r="256" spans="1:17" hidden="1" outlineLevel="1" x14ac:dyDescent="0.25">
      <c r="B256" s="7" t="s">
        <v>44</v>
      </c>
      <c r="C256" s="231"/>
      <c r="I256" s="10" t="s">
        <v>3</v>
      </c>
      <c r="J256" s="10" t="s">
        <v>2</v>
      </c>
      <c r="K256" s="59" t="e">
        <f>IF(E267&gt;0,E267,D267)</f>
        <v>#N/A</v>
      </c>
      <c r="L256" s="59" t="e">
        <f>IF(G267&gt;0,G267,F267)</f>
        <v>#N/A</v>
      </c>
      <c r="M256" s="2"/>
    </row>
    <row r="257" spans="2:14" hidden="1" outlineLevel="1" x14ac:dyDescent="0.25">
      <c r="B257" s="7" t="s">
        <v>11</v>
      </c>
      <c r="C257" s="59">
        <f>Hypothèses!C16</f>
        <v>0</v>
      </c>
      <c r="I257" s="7" t="s">
        <v>33</v>
      </c>
      <c r="J257" s="10" t="s">
        <v>2</v>
      </c>
      <c r="K257" s="59">
        <f>-D274</f>
        <v>0</v>
      </c>
      <c r="L257" s="59">
        <f>-F274</f>
        <v>0</v>
      </c>
    </row>
    <row r="258" spans="2:14" hidden="1" outlineLevel="1" x14ac:dyDescent="0.25">
      <c r="B258" s="7" t="s">
        <v>12</v>
      </c>
      <c r="C258" s="59">
        <f>IFERROR(C257/C256,0)</f>
        <v>0</v>
      </c>
      <c r="I258" s="7" t="s">
        <v>20</v>
      </c>
      <c r="J258" s="10" t="s">
        <v>2</v>
      </c>
      <c r="K258" s="59" t="e">
        <f>-D268*K256</f>
        <v>#N/A</v>
      </c>
      <c r="L258" s="59" t="e">
        <f>-F268*L256</f>
        <v>#N/A</v>
      </c>
    </row>
    <row r="259" spans="2:14" hidden="1" outlineLevel="1" x14ac:dyDescent="0.25">
      <c r="B259" s="7" t="s">
        <v>241</v>
      </c>
      <c r="C259" s="231"/>
      <c r="F259"/>
      <c r="G259"/>
      <c r="I259" s="11" t="s">
        <v>30</v>
      </c>
      <c r="J259" s="11" t="s">
        <v>2</v>
      </c>
      <c r="K259" s="12" t="e">
        <f>SUM(K260:K263)</f>
        <v>#N/A</v>
      </c>
      <c r="L259" s="12" t="e">
        <f>SUM(L260:L263)</f>
        <v>#VALUE!</v>
      </c>
    </row>
    <row r="260" spans="2:14" hidden="1" outlineLevel="1" x14ac:dyDescent="0.25">
      <c r="B260" s="7" t="s">
        <v>242</v>
      </c>
      <c r="C260" s="231"/>
      <c r="F260"/>
      <c r="G260"/>
      <c r="I260" s="10" t="s">
        <v>0</v>
      </c>
      <c r="J260" s="10" t="s">
        <v>2</v>
      </c>
      <c r="K260" s="59" t="e">
        <f>C255*D270</f>
        <v>#N/A</v>
      </c>
      <c r="L260" s="59">
        <f>C255*F270</f>
        <v>0</v>
      </c>
      <c r="M260" s="2"/>
    </row>
    <row r="261" spans="2:14" hidden="1" outlineLevel="1" x14ac:dyDescent="0.25">
      <c r="I261" s="7" t="s">
        <v>24</v>
      </c>
      <c r="J261" s="10" t="s">
        <v>2</v>
      </c>
      <c r="K261" s="59" t="e">
        <f>IF(E271&gt;0,E271,D271)*C255</f>
        <v>#N/A</v>
      </c>
      <c r="L261" s="59">
        <f>C255*F271</f>
        <v>0</v>
      </c>
    </row>
    <row r="262" spans="2:14" hidden="1" outlineLevel="1" x14ac:dyDescent="0.25">
      <c r="B262" s="6" t="s">
        <v>14</v>
      </c>
      <c r="C262" s="6"/>
      <c r="D262" s="6"/>
      <c r="E262" s="6"/>
      <c r="F262" s="6"/>
      <c r="G262" s="6"/>
      <c r="I262" s="7" t="s">
        <v>29</v>
      </c>
      <c r="J262" s="10" t="s">
        <v>2</v>
      </c>
      <c r="K262" s="59" t="e">
        <f>$C255*$C257*(1/100)*IF(E265&gt;0,E265,D265)*D280</f>
        <v>#N/A</v>
      </c>
      <c r="L262" s="59" t="e">
        <f>C255*C257*(1/100)*F264*G280+IFERROR(C255*C257*(1/100)*IF(G266&gt;0,G266,F266)*F280,0)</f>
        <v>#VALUE!</v>
      </c>
    </row>
    <row r="263" spans="2:14" hidden="1" outlineLevel="1" x14ac:dyDescent="0.25">
      <c r="B263" s="9" t="s">
        <v>15</v>
      </c>
      <c r="C263" s="9" t="s">
        <v>16</v>
      </c>
      <c r="D263" s="627" t="s">
        <v>1</v>
      </c>
      <c r="E263" s="627"/>
      <c r="F263" s="627" t="s">
        <v>4</v>
      </c>
      <c r="G263" s="627"/>
      <c r="I263" s="7" t="s">
        <v>23</v>
      </c>
      <c r="J263" s="10" t="s">
        <v>2</v>
      </c>
      <c r="K263" s="60">
        <f>IFERROR(C255*D272,0)+D273</f>
        <v>0</v>
      </c>
      <c r="L263" s="60">
        <f>IFERROR(C255*F272,0)+F273</f>
        <v>0</v>
      </c>
    </row>
    <row r="264" spans="2:14" hidden="1" outlineLevel="1" x14ac:dyDescent="0.25">
      <c r="B264" s="7" t="s">
        <v>18</v>
      </c>
      <c r="C264" s="7" t="s">
        <v>5</v>
      </c>
      <c r="D264" s="615" t="s">
        <v>6</v>
      </c>
      <c r="E264" s="616"/>
      <c r="F264" s="617" t="str">
        <f>IF(Hypothèses!G16&gt;0,Hypothèses!G16,Hypothèses!E16)</f>
        <v/>
      </c>
      <c r="G264" s="617"/>
      <c r="I264" s="13" t="s">
        <v>8</v>
      </c>
      <c r="J264" s="14"/>
      <c r="K264" s="15" t="e">
        <f>K255+K259</f>
        <v>#N/A</v>
      </c>
      <c r="L264" s="15" t="e">
        <f t="shared" ref="L264" si="6">L255+L259</f>
        <v>#N/A</v>
      </c>
    </row>
    <row r="265" spans="2:14" hidden="1" outlineLevel="1" x14ac:dyDescent="0.25">
      <c r="B265" s="7" t="s">
        <v>17</v>
      </c>
      <c r="C265" s="7" t="s">
        <v>32</v>
      </c>
      <c r="D265" s="142" t="e">
        <f>VLOOKUP($E250,Sources!$B$53:$D$62,3,FALSE)</f>
        <v>#N/A</v>
      </c>
      <c r="E265" s="234"/>
      <c r="F265" s="617" t="s">
        <v>6</v>
      </c>
      <c r="G265" s="617"/>
      <c r="I265" s="7" t="s">
        <v>27</v>
      </c>
      <c r="J265" s="10" t="s">
        <v>2</v>
      </c>
      <c r="K265" s="621" t="e">
        <f>L264-K264</f>
        <v>#N/A</v>
      </c>
      <c r="L265" s="621"/>
    </row>
    <row r="266" spans="2:14" hidden="1" outlineLevel="1" x14ac:dyDescent="0.25">
      <c r="B266" s="7" t="s">
        <v>123</v>
      </c>
      <c r="C266" s="7" t="s">
        <v>7</v>
      </c>
      <c r="D266" s="615" t="s">
        <v>6</v>
      </c>
      <c r="E266" s="616"/>
      <c r="F266" s="144" t="e">
        <f>IF(E250=Sources!$B$53,15.5-F264*0.35*33.3,VLOOKUP(E250,Sources!$B$53:$D$62,2,FALSE))</f>
        <v>#N/A</v>
      </c>
      <c r="G266" s="235"/>
      <c r="I266" s="7" t="s">
        <v>27</v>
      </c>
      <c r="J266" s="10" t="s">
        <v>9</v>
      </c>
      <c r="K266" s="622">
        <f>IFERROR(K265/K264,0)</f>
        <v>0</v>
      </c>
      <c r="L266" s="622"/>
    </row>
    <row r="267" spans="2:14" hidden="1" outlineLevel="1" x14ac:dyDescent="0.25">
      <c r="B267" s="8" t="s">
        <v>19</v>
      </c>
      <c r="C267" s="10" t="s">
        <v>2</v>
      </c>
      <c r="D267" s="232" t="e">
        <f>VLOOKUP($E250,Sources!$B$14:$D$23,2,FALSE)</f>
        <v>#N/A</v>
      </c>
      <c r="E267" s="236"/>
      <c r="F267" s="232" t="e">
        <f>VLOOKUP($E250,Sources!$B$14:$D$23,3,FALSE)</f>
        <v>#N/A</v>
      </c>
      <c r="G267" s="236"/>
      <c r="I267" s="7" t="s">
        <v>27</v>
      </c>
      <c r="J267" s="16" t="s">
        <v>28</v>
      </c>
      <c r="K267" s="623">
        <f>IFERROR((L264-K264)/(C255*C257),0)</f>
        <v>0</v>
      </c>
      <c r="L267" s="623"/>
    </row>
    <row r="268" spans="2:14" hidden="1" outlineLevel="1" x14ac:dyDescent="0.25">
      <c r="B268" s="7" t="s">
        <v>20</v>
      </c>
      <c r="C268" s="81" t="s">
        <v>9</v>
      </c>
      <c r="D268" s="624" t="e">
        <f>IF(OR($C255&gt;VLOOKUP($E250,Sources!$B$82:$G$91,6,FALSE),$C255*$C257&gt;VLOOKUP($E250,Sources!$B$96:$G$105,6,FALSE)),0,MIN(VLOOKUP($E250,Sources!$B$82:$F$91,2,FALSE)*$C255^3+VLOOKUP($E250,Sources!$B$82:$F$91,3,FALSE)*$C255^2+VLOOKUP($E250,Sources!$B$82:$F$91,4,FALSE)*$C255+VLOOKUP($E250,Sources!$B$82:$F$91,5,FALSE),VLOOKUP($E250,Sources!$B$96:$F$105,2,FALSE)*($C255*$C257)^3+VLOOKUP($E250,Sources!$B$96:$F$105,3,FALSE)*($C255*$C257)^2+VLOOKUP($E250,Sources!$B$96:$F$105,4,FALSE)*$C255*$C257+VLOOKUP($E250,Sources!$B$96:$F$105,5,FALSE)))</f>
        <v>#N/A</v>
      </c>
      <c r="E268" s="625"/>
      <c r="F268" s="626" t="e">
        <f>IF(OR($C255&gt;VLOOKUP($E250,Sources!$B$82:$G$91,6,FALSE),$C255*$C257&gt;VLOOKUP($E250,Sources!$B$96:$G$105,6,FALSE)),0,(1-Sources!$D$77)*MIN(VLOOKUP($E250,Sources!$B$82:$F$91,2,FALSE)*$C255^3+VLOOKUP($E250,Sources!$B$82:$F$91,3,FALSE)*$C255^2+VLOOKUP($E250,Sources!$B$82:$F$91,4,FALSE)*$C255+VLOOKUP($E250,Sources!$B$82:$F$91,5,FALSE),VLOOKUP($E250,Sources!$B$96:$F$105,2,FALSE)*($C255*$C257)^3+VLOOKUP($E250,Sources!$B$96:$F$105,3,FALSE)*($C255*$C257)^2+VLOOKUP($E250,Sources!$B$96:$F$105,4,FALSE)*$C255*$C257+VLOOKUP($E250,Sources!$B$96:$F$105,5,FALSE)))</f>
        <v>#N/A</v>
      </c>
      <c r="G268" s="626"/>
      <c r="I268"/>
      <c r="K268" s="3"/>
      <c r="M268" s="3"/>
      <c r="N268" s="3"/>
    </row>
    <row r="269" spans="2:14" hidden="1" outlineLevel="1" x14ac:dyDescent="0.25">
      <c r="B269" s="10" t="s">
        <v>0</v>
      </c>
      <c r="C269" s="7" t="s">
        <v>43</v>
      </c>
      <c r="D269" s="143" t="e">
        <f>VLOOKUP($E250,Sources!$B$27:$D$36,2,FALSE)</f>
        <v>#N/A</v>
      </c>
      <c r="E269" s="237"/>
      <c r="F269" s="614"/>
      <c r="G269" s="614"/>
      <c r="I269"/>
      <c r="K269" s="3"/>
      <c r="L269" s="3"/>
      <c r="N269" s="3"/>
    </row>
    <row r="270" spans="2:14" hidden="1" outlineLevel="1" x14ac:dyDescent="0.25">
      <c r="B270" s="10" t="s">
        <v>0</v>
      </c>
      <c r="C270" s="7" t="s">
        <v>34</v>
      </c>
      <c r="D270" s="615" t="e">
        <f>IF(E269&gt;0,E269,D269)*C257</f>
        <v>#N/A</v>
      </c>
      <c r="E270" s="616"/>
      <c r="F270" s="617">
        <f>F269*C257</f>
        <v>0</v>
      </c>
      <c r="G270" s="617"/>
      <c r="I270"/>
      <c r="K270" s="3"/>
      <c r="L270" s="3"/>
      <c r="N270" s="3"/>
    </row>
    <row r="271" spans="2:14" hidden="1" outlineLevel="1" x14ac:dyDescent="0.25">
      <c r="B271" s="7" t="s">
        <v>24</v>
      </c>
      <c r="C271" s="7" t="s">
        <v>34</v>
      </c>
      <c r="D271" s="232" t="e">
        <f>VLOOKUP($E250,Sources!$B$40:$D$49,2,FALSE)</f>
        <v>#N/A</v>
      </c>
      <c r="E271" s="236"/>
      <c r="F271" s="614"/>
      <c r="G271" s="614"/>
      <c r="I271"/>
      <c r="K271" s="3"/>
      <c r="L271" s="3"/>
      <c r="N271" s="3"/>
    </row>
    <row r="272" spans="2:14" hidden="1" outlineLevel="1" x14ac:dyDescent="0.25">
      <c r="B272" s="7" t="s">
        <v>26</v>
      </c>
      <c r="C272" s="7" t="s">
        <v>34</v>
      </c>
      <c r="D272" s="615">
        <v>0</v>
      </c>
      <c r="E272" s="616"/>
      <c r="F272" s="614"/>
      <c r="G272" s="614"/>
      <c r="I272"/>
      <c r="J272"/>
      <c r="K272" s="3"/>
      <c r="L272" s="3"/>
      <c r="N272" s="3"/>
    </row>
    <row r="273" spans="1:17" hidden="1" outlineLevel="1" x14ac:dyDescent="0.25">
      <c r="B273" s="7" t="s">
        <v>209</v>
      </c>
      <c r="C273" s="7" t="s">
        <v>2</v>
      </c>
      <c r="D273" s="618"/>
      <c r="E273" s="619"/>
      <c r="F273" s="614"/>
      <c r="G273" s="614"/>
      <c r="I273"/>
      <c r="J273"/>
      <c r="K273" s="3"/>
      <c r="L273" s="3"/>
      <c r="N273" s="3"/>
    </row>
    <row r="274" spans="1:17" hidden="1" outlineLevel="1" x14ac:dyDescent="0.25">
      <c r="B274" s="7" t="s">
        <v>25</v>
      </c>
      <c r="C274" s="10" t="s">
        <v>2</v>
      </c>
      <c r="D274" s="615">
        <v>0</v>
      </c>
      <c r="E274" s="616"/>
      <c r="F274" s="620">
        <f>C260+C259</f>
        <v>0</v>
      </c>
      <c r="G274" s="620"/>
      <c r="I274"/>
      <c r="J274" s="3"/>
      <c r="K274" s="3"/>
      <c r="L274" s="3"/>
      <c r="N274" s="3"/>
    </row>
    <row r="275" spans="1:17" hidden="1" outlineLevel="1" x14ac:dyDescent="0.25">
      <c r="H275"/>
      <c r="I275" s="3"/>
      <c r="J275" s="3"/>
      <c r="K275" s="3"/>
      <c r="M275" s="3"/>
    </row>
    <row r="276" spans="1:17" hidden="1" outlineLevel="1" x14ac:dyDescent="0.25">
      <c r="I276" s="3"/>
      <c r="J276" s="3"/>
      <c r="K276" s="3"/>
      <c r="M276" s="3"/>
    </row>
    <row r="277" spans="1:17" hidden="1" outlineLevel="1" x14ac:dyDescent="0.25">
      <c r="B277" s="6" t="s">
        <v>10</v>
      </c>
      <c r="C277" s="6"/>
      <c r="D277" s="6"/>
      <c r="E277" s="6"/>
      <c r="F277" s="5"/>
      <c r="G277" s="5"/>
      <c r="H277"/>
      <c r="J277" s="3"/>
      <c r="K277" s="3"/>
      <c r="M277" s="3"/>
    </row>
    <row r="278" spans="1:17" hidden="1" outlineLevel="1" x14ac:dyDescent="0.25">
      <c r="B278" s="9" t="s">
        <v>15</v>
      </c>
      <c r="C278" s="9" t="s">
        <v>16</v>
      </c>
      <c r="D278" s="627" t="s">
        <v>1</v>
      </c>
      <c r="E278" s="627"/>
      <c r="F278" s="203" t="s">
        <v>21</v>
      </c>
      <c r="G278" s="203" t="s">
        <v>4</v>
      </c>
      <c r="J278" s="3"/>
      <c r="K278" s="3"/>
      <c r="M278" s="3"/>
    </row>
    <row r="279" spans="1:17" hidden="1" outlineLevel="1" x14ac:dyDescent="0.25">
      <c r="B279" s="7" t="s">
        <v>236</v>
      </c>
      <c r="C279" s="7" t="s">
        <v>119</v>
      </c>
      <c r="D279" s="612">
        <f>IF(OR(E250=Sources!$B$14,E250=Sources!$B$15,E250=Sources!$B$23,E250=Sources!$B$24),Sources!$D$4,IF(OR(E250=Sources!$B$16,E250=Sources!$B$17,E250=Sources!$B$18),Sources!$D$6,Sources!$D$7))</f>
        <v>1.367</v>
      </c>
      <c r="E279" s="613"/>
      <c r="F279" s="140">
        <f>Sources!$C$8</f>
        <v>0.24</v>
      </c>
      <c r="J279" s="3"/>
      <c r="K279" s="3"/>
      <c r="M279" s="3"/>
    </row>
    <row r="280" spans="1:17" hidden="1" outlineLevel="1" x14ac:dyDescent="0.25">
      <c r="B280" s="7" t="s">
        <v>35</v>
      </c>
      <c r="C280" s="7" t="s">
        <v>119</v>
      </c>
      <c r="D280" s="612" t="e">
        <f>D279*(1+Sources!C$9)^(C254-2020)*(1-(1+Sources!C$9)^C255)/(-Sources!C$9*C255)</f>
        <v>#DIV/0!</v>
      </c>
      <c r="E280" s="613"/>
      <c r="F280" s="140" t="e">
        <f>Sources!C$8*(1+Sources!C$10)^(C254-2019)*(1-(1+Sources!C$10)^C255)/(-Sources!C$10*C255)</f>
        <v>#DIV/0!</v>
      </c>
      <c r="G280" s="140">
        <f>IFERROR(Hypothèses!H16*(1+L$8)^(C254-L$7)*(1-(1+L$8)^C255)/(-L$8*C255),Hypothèses!H16)</f>
        <v>0</v>
      </c>
      <c r="J280" s="3"/>
      <c r="K280" s="3"/>
      <c r="M280" s="3"/>
    </row>
    <row r="281" spans="1:17" collapsed="1" x14ac:dyDescent="0.25"/>
    <row r="282" spans="1:17" s="628" customFormat="1" ht="18.75" x14ac:dyDescent="0.3">
      <c r="A282" s="628" t="s">
        <v>61</v>
      </c>
    </row>
    <row r="283" spans="1:17" x14ac:dyDescent="0.25">
      <c r="A283" s="229">
        <f>IF(AND(F303&gt;0,C288&gt;0,IFERROR(K299,0)&gt;0),1,0)</f>
        <v>0</v>
      </c>
      <c r="B283" s="4"/>
    </row>
    <row r="284" spans="1:17" ht="18.75" x14ac:dyDescent="0.3">
      <c r="B284" s="4"/>
      <c r="E284" s="637" t="str">
        <f>IF(Hypothèses!B17&lt;&gt;0,Hypothèses!B17,"")</f>
        <v/>
      </c>
      <c r="F284" s="637"/>
      <c r="G284" s="637"/>
      <c r="H284" s="637"/>
      <c r="I284" s="637"/>
      <c r="O284" s="4"/>
    </row>
    <row r="285" spans="1:17" hidden="1" outlineLevel="1" x14ac:dyDescent="0.25">
      <c r="A285" s="4" t="s">
        <v>54</v>
      </c>
      <c r="B285" s="632" t="str">
        <f>B$13</f>
        <v>Modèle du véhicule (constructeur, nom commercial) :</v>
      </c>
      <c r="C285" s="632"/>
      <c r="D285" s="632"/>
      <c r="E285" s="614"/>
      <c r="F285" s="614"/>
      <c r="G285" s="614"/>
      <c r="H285" s="614"/>
      <c r="I285" s="614"/>
      <c r="O285" s="4"/>
    </row>
    <row r="286" spans="1:17" hidden="1" outlineLevel="1" x14ac:dyDescent="0.25">
      <c r="O286" s="4"/>
    </row>
    <row r="287" spans="1:17" hidden="1" outlineLevel="1" x14ac:dyDescent="0.25">
      <c r="B287" s="6" t="s">
        <v>13</v>
      </c>
      <c r="C287" s="6"/>
      <c r="D287" s="6"/>
      <c r="E287" s="6"/>
      <c r="F287" s="6"/>
      <c r="G287" s="6"/>
      <c r="I287" s="6" t="s">
        <v>22</v>
      </c>
      <c r="J287" s="6"/>
      <c r="K287" s="6"/>
      <c r="L287" s="6"/>
      <c r="Q287" s="4"/>
    </row>
    <row r="288" spans="1:17" hidden="1" outlineLevel="1" x14ac:dyDescent="0.25">
      <c r="B288" s="7" t="s">
        <v>36</v>
      </c>
      <c r="C288" s="230"/>
      <c r="I288" s="9" t="s">
        <v>15</v>
      </c>
      <c r="J288" s="9" t="s">
        <v>16</v>
      </c>
      <c r="K288" s="9" t="s">
        <v>1</v>
      </c>
      <c r="L288" s="9" t="s">
        <v>4</v>
      </c>
      <c r="Q288" s="4"/>
    </row>
    <row r="289" spans="2:14" hidden="1" outlineLevel="1" x14ac:dyDescent="0.25">
      <c r="B289" s="7" t="s">
        <v>240</v>
      </c>
      <c r="C289" s="231"/>
      <c r="I289" s="11" t="s">
        <v>31</v>
      </c>
      <c r="J289" s="11" t="s">
        <v>2</v>
      </c>
      <c r="K289" s="12" t="e">
        <f>SUM(K290:K292)</f>
        <v>#N/A</v>
      </c>
      <c r="L289" s="12" t="e">
        <f>SUM(L290:L292)</f>
        <v>#N/A</v>
      </c>
    </row>
    <row r="290" spans="2:14" hidden="1" outlineLevel="1" x14ac:dyDescent="0.25">
      <c r="B290" s="7" t="s">
        <v>44</v>
      </c>
      <c r="C290" s="231"/>
      <c r="I290" s="10" t="s">
        <v>3</v>
      </c>
      <c r="J290" s="10" t="s">
        <v>2</v>
      </c>
      <c r="K290" s="59" t="e">
        <f>IF(E301&gt;0,E301,D301)</f>
        <v>#N/A</v>
      </c>
      <c r="L290" s="59" t="e">
        <f>IF(G301&gt;0,G301,F301)</f>
        <v>#N/A</v>
      </c>
      <c r="M290" s="2"/>
    </row>
    <row r="291" spans="2:14" hidden="1" outlineLevel="1" x14ac:dyDescent="0.25">
      <c r="B291" s="7" t="s">
        <v>11</v>
      </c>
      <c r="C291" s="59">
        <f>Hypothèses!C17</f>
        <v>0</v>
      </c>
      <c r="I291" s="7" t="s">
        <v>33</v>
      </c>
      <c r="J291" s="10" t="s">
        <v>2</v>
      </c>
      <c r="K291" s="59">
        <f>-D308</f>
        <v>0</v>
      </c>
      <c r="L291" s="59">
        <f>-F308</f>
        <v>0</v>
      </c>
    </row>
    <row r="292" spans="2:14" hidden="1" outlineLevel="1" x14ac:dyDescent="0.25">
      <c r="B292" s="7" t="s">
        <v>12</v>
      </c>
      <c r="C292" s="59">
        <f>IFERROR(C291/C290,0)</f>
        <v>0</v>
      </c>
      <c r="I292" s="7" t="s">
        <v>20</v>
      </c>
      <c r="J292" s="10" t="s">
        <v>2</v>
      </c>
      <c r="K292" s="59" t="e">
        <f>-D302*K290</f>
        <v>#N/A</v>
      </c>
      <c r="L292" s="59" t="e">
        <f>-F302*L290</f>
        <v>#N/A</v>
      </c>
    </row>
    <row r="293" spans="2:14" hidden="1" outlineLevel="1" x14ac:dyDescent="0.25">
      <c r="B293" s="7" t="s">
        <v>241</v>
      </c>
      <c r="C293" s="231"/>
      <c r="F293"/>
      <c r="G293"/>
      <c r="I293" s="11" t="s">
        <v>30</v>
      </c>
      <c r="J293" s="11" t="s">
        <v>2</v>
      </c>
      <c r="K293" s="12" t="e">
        <f>SUM(K294:K297)</f>
        <v>#N/A</v>
      </c>
      <c r="L293" s="12" t="e">
        <f>SUM(L294:L297)</f>
        <v>#VALUE!</v>
      </c>
    </row>
    <row r="294" spans="2:14" hidden="1" outlineLevel="1" x14ac:dyDescent="0.25">
      <c r="B294" s="7" t="s">
        <v>242</v>
      </c>
      <c r="C294" s="231"/>
      <c r="F294"/>
      <c r="G294"/>
      <c r="I294" s="10" t="s">
        <v>0</v>
      </c>
      <c r="J294" s="10" t="s">
        <v>2</v>
      </c>
      <c r="K294" s="59" t="e">
        <f>C289*D304</f>
        <v>#N/A</v>
      </c>
      <c r="L294" s="59">
        <f>C289*F304</f>
        <v>0</v>
      </c>
      <c r="M294" s="2"/>
    </row>
    <row r="295" spans="2:14" hidden="1" outlineLevel="1" x14ac:dyDescent="0.25">
      <c r="I295" s="7" t="s">
        <v>24</v>
      </c>
      <c r="J295" s="10" t="s">
        <v>2</v>
      </c>
      <c r="K295" s="59" t="e">
        <f>IF(E305&gt;0,E305,D305)*C289</f>
        <v>#N/A</v>
      </c>
      <c r="L295" s="59">
        <f>C289*F305</f>
        <v>0</v>
      </c>
    </row>
    <row r="296" spans="2:14" hidden="1" outlineLevel="1" x14ac:dyDescent="0.25">
      <c r="B296" s="6" t="s">
        <v>14</v>
      </c>
      <c r="C296" s="6"/>
      <c r="D296" s="6"/>
      <c r="E296" s="6"/>
      <c r="F296" s="6"/>
      <c r="G296" s="6"/>
      <c r="I296" s="7" t="s">
        <v>29</v>
      </c>
      <c r="J296" s="10" t="s">
        <v>2</v>
      </c>
      <c r="K296" s="59" t="e">
        <f>$C289*$C291*(1/100)*IF(E299&gt;0,E299,D299)*D314</f>
        <v>#N/A</v>
      </c>
      <c r="L296" s="59" t="e">
        <f>C289*C291*(1/100)*F298*G314+IFERROR(C289*C291*(1/100)*IF(G300&gt;0,G300,F300)*F314,0)</f>
        <v>#VALUE!</v>
      </c>
    </row>
    <row r="297" spans="2:14" hidden="1" outlineLevel="1" x14ac:dyDescent="0.25">
      <c r="B297" s="9" t="s">
        <v>15</v>
      </c>
      <c r="C297" s="9" t="s">
        <v>16</v>
      </c>
      <c r="D297" s="627" t="s">
        <v>1</v>
      </c>
      <c r="E297" s="627"/>
      <c r="F297" s="627" t="s">
        <v>4</v>
      </c>
      <c r="G297" s="627"/>
      <c r="I297" s="7" t="s">
        <v>23</v>
      </c>
      <c r="J297" s="10" t="s">
        <v>2</v>
      </c>
      <c r="K297" s="60">
        <f>IFERROR(C289*D306,0)+D307</f>
        <v>0</v>
      </c>
      <c r="L297" s="60">
        <f>IFERROR(C289*F306,0)+F307</f>
        <v>0</v>
      </c>
    </row>
    <row r="298" spans="2:14" hidden="1" outlineLevel="1" x14ac:dyDescent="0.25">
      <c r="B298" s="7" t="s">
        <v>18</v>
      </c>
      <c r="C298" s="7" t="s">
        <v>5</v>
      </c>
      <c r="D298" s="615" t="s">
        <v>6</v>
      </c>
      <c r="E298" s="616"/>
      <c r="F298" s="617" t="str">
        <f>IF(Hypothèses!G17&gt;0,Hypothèses!G17,Hypothèses!E17)</f>
        <v/>
      </c>
      <c r="G298" s="617"/>
      <c r="I298" s="13" t="s">
        <v>8</v>
      </c>
      <c r="J298" s="14"/>
      <c r="K298" s="15" t="e">
        <f>K289+K293</f>
        <v>#N/A</v>
      </c>
      <c r="L298" s="15" t="e">
        <f t="shared" ref="L298" si="7">L289+L293</f>
        <v>#N/A</v>
      </c>
    </row>
    <row r="299" spans="2:14" hidden="1" outlineLevel="1" x14ac:dyDescent="0.25">
      <c r="B299" s="7" t="s">
        <v>17</v>
      </c>
      <c r="C299" s="7" t="s">
        <v>32</v>
      </c>
      <c r="D299" s="142" t="e">
        <f>VLOOKUP($E284,Sources!$B$53:$D$62,3,FALSE)</f>
        <v>#N/A</v>
      </c>
      <c r="E299" s="234"/>
      <c r="F299" s="617" t="s">
        <v>6</v>
      </c>
      <c r="G299" s="617"/>
      <c r="I299" s="7" t="s">
        <v>27</v>
      </c>
      <c r="J299" s="10" t="s">
        <v>2</v>
      </c>
      <c r="K299" s="621" t="e">
        <f>L298-K298</f>
        <v>#N/A</v>
      </c>
      <c r="L299" s="621"/>
    </row>
    <row r="300" spans="2:14" hidden="1" outlineLevel="1" x14ac:dyDescent="0.25">
      <c r="B300" s="7" t="s">
        <v>123</v>
      </c>
      <c r="C300" s="7" t="s">
        <v>7</v>
      </c>
      <c r="D300" s="615" t="s">
        <v>6</v>
      </c>
      <c r="E300" s="616"/>
      <c r="F300" s="144" t="e">
        <f>IF(E284=Sources!$B$53,15.5-F298*0.35*33.3,VLOOKUP(E284,Sources!$B$53:$D$62,2,FALSE))</f>
        <v>#N/A</v>
      </c>
      <c r="G300" s="235"/>
      <c r="I300" s="7" t="s">
        <v>27</v>
      </c>
      <c r="J300" s="10" t="s">
        <v>9</v>
      </c>
      <c r="K300" s="622">
        <f>IFERROR(K299/K298,0)</f>
        <v>0</v>
      </c>
      <c r="L300" s="622"/>
    </row>
    <row r="301" spans="2:14" hidden="1" outlineLevel="1" x14ac:dyDescent="0.25">
      <c r="B301" s="8" t="s">
        <v>19</v>
      </c>
      <c r="C301" s="10" t="s">
        <v>2</v>
      </c>
      <c r="D301" s="232" t="e">
        <f>VLOOKUP($E284,Sources!$B$14:$D$23,2,FALSE)</f>
        <v>#N/A</v>
      </c>
      <c r="E301" s="236"/>
      <c r="F301" s="232" t="e">
        <f>VLOOKUP($E284,Sources!$B$14:$D$23,3,FALSE)</f>
        <v>#N/A</v>
      </c>
      <c r="G301" s="236"/>
      <c r="I301" s="7" t="s">
        <v>27</v>
      </c>
      <c r="J301" s="16" t="s">
        <v>28</v>
      </c>
      <c r="K301" s="623">
        <f>IFERROR((L298-K298)/(C289*C291),0)</f>
        <v>0</v>
      </c>
      <c r="L301" s="623"/>
    </row>
    <row r="302" spans="2:14" hidden="1" outlineLevel="1" x14ac:dyDescent="0.25">
      <c r="B302" s="7" t="s">
        <v>20</v>
      </c>
      <c r="C302" s="81" t="s">
        <v>9</v>
      </c>
      <c r="D302" s="624" t="e">
        <f>IF(OR($C289&gt;VLOOKUP($E284,Sources!$B$82:$G$91,6,FALSE),$C289*$C291&gt;VLOOKUP($E284,Sources!$B$96:$G$105,6,FALSE)),0,MIN(VLOOKUP($E284,Sources!$B$82:$F$91,2,FALSE)*$C289^3+VLOOKUP($E284,Sources!$B$82:$F$91,3,FALSE)*$C289^2+VLOOKUP($E284,Sources!$B$82:$F$91,4,FALSE)*$C289+VLOOKUP($E284,Sources!$B$82:$F$91,5,FALSE),VLOOKUP($E284,Sources!$B$96:$F$105,2,FALSE)*($C289*$C291)^3+VLOOKUP($E284,Sources!$B$96:$F$105,3,FALSE)*($C289*$C291)^2+VLOOKUP($E284,Sources!$B$96:$F$105,4,FALSE)*$C289*$C291+VLOOKUP($E284,Sources!$B$96:$F$105,5,FALSE)))</f>
        <v>#N/A</v>
      </c>
      <c r="E302" s="625"/>
      <c r="F302" s="626" t="e">
        <f>IF(OR($C289&gt;VLOOKUP($E284,Sources!$B$82:$G$91,6,FALSE),$C289*$C291&gt;VLOOKUP($E284,Sources!$B$96:$G$105,6,FALSE)),0,(1-Sources!$D$77)*MIN(VLOOKUP($E284,Sources!$B$82:$F$91,2,FALSE)*$C289^3+VLOOKUP($E284,Sources!$B$82:$F$91,3,FALSE)*$C289^2+VLOOKUP($E284,Sources!$B$82:$F$91,4,FALSE)*$C289+VLOOKUP($E284,Sources!$B$82:$F$91,5,FALSE),VLOOKUP($E284,Sources!$B$96:$F$105,2,FALSE)*($C289*$C291)^3+VLOOKUP($E284,Sources!$B$96:$F$105,3,FALSE)*($C289*$C291)^2+VLOOKUP($E284,Sources!$B$96:$F$105,4,FALSE)*$C289*$C291+VLOOKUP($E284,Sources!$B$96:$F$105,5,FALSE)))</f>
        <v>#N/A</v>
      </c>
      <c r="G302" s="626"/>
      <c r="I302"/>
      <c r="K302" s="3"/>
      <c r="M302" s="3"/>
      <c r="N302" s="3"/>
    </row>
    <row r="303" spans="2:14" hidden="1" outlineLevel="1" x14ac:dyDescent="0.25">
      <c r="B303" s="10" t="s">
        <v>0</v>
      </c>
      <c r="C303" s="7" t="s">
        <v>43</v>
      </c>
      <c r="D303" s="143" t="e">
        <f>VLOOKUP($E284,Sources!$B$27:$D$36,2,FALSE)</f>
        <v>#N/A</v>
      </c>
      <c r="E303" s="237"/>
      <c r="F303" s="614"/>
      <c r="G303" s="614"/>
      <c r="I303"/>
      <c r="K303" s="3"/>
      <c r="L303" s="3"/>
      <c r="N303" s="3"/>
    </row>
    <row r="304" spans="2:14" hidden="1" outlineLevel="1" x14ac:dyDescent="0.25">
      <c r="B304" s="10" t="s">
        <v>0</v>
      </c>
      <c r="C304" s="7" t="s">
        <v>34</v>
      </c>
      <c r="D304" s="615" t="e">
        <f>IF(E303&gt;0,E303,D303)*C291</f>
        <v>#N/A</v>
      </c>
      <c r="E304" s="616"/>
      <c r="F304" s="617">
        <f>F303*C291</f>
        <v>0</v>
      </c>
      <c r="G304" s="617"/>
      <c r="I304"/>
      <c r="K304" s="3"/>
      <c r="L304" s="3"/>
      <c r="N304" s="3"/>
    </row>
    <row r="305" spans="1:15" hidden="1" outlineLevel="1" x14ac:dyDescent="0.25">
      <c r="B305" s="7" t="s">
        <v>24</v>
      </c>
      <c r="C305" s="7" t="s">
        <v>34</v>
      </c>
      <c r="D305" s="232" t="e">
        <f>VLOOKUP($E284,Sources!$B$40:$D$49,2,FALSE)</f>
        <v>#N/A</v>
      </c>
      <c r="E305" s="236"/>
      <c r="F305" s="614"/>
      <c r="G305" s="614"/>
      <c r="I305"/>
      <c r="K305" s="3"/>
      <c r="L305" s="3"/>
      <c r="N305" s="3"/>
    </row>
    <row r="306" spans="1:15" hidden="1" outlineLevel="1" x14ac:dyDescent="0.25">
      <c r="B306" s="7" t="s">
        <v>26</v>
      </c>
      <c r="C306" s="7" t="s">
        <v>34</v>
      </c>
      <c r="D306" s="615">
        <v>0</v>
      </c>
      <c r="E306" s="616"/>
      <c r="F306" s="614"/>
      <c r="G306" s="614"/>
      <c r="I306"/>
      <c r="J306"/>
      <c r="K306" s="3"/>
      <c r="L306" s="3"/>
      <c r="N306" s="3"/>
    </row>
    <row r="307" spans="1:15" hidden="1" outlineLevel="1" x14ac:dyDescent="0.25">
      <c r="B307" s="7" t="s">
        <v>209</v>
      </c>
      <c r="C307" s="7" t="s">
        <v>2</v>
      </c>
      <c r="D307" s="618"/>
      <c r="E307" s="619"/>
      <c r="F307" s="614"/>
      <c r="G307" s="614"/>
      <c r="I307"/>
      <c r="J307"/>
      <c r="K307" s="3"/>
      <c r="L307" s="3"/>
      <c r="N307" s="3"/>
    </row>
    <row r="308" spans="1:15" hidden="1" outlineLevel="1" x14ac:dyDescent="0.25">
      <c r="B308" s="7" t="s">
        <v>25</v>
      </c>
      <c r="C308" s="10" t="s">
        <v>2</v>
      </c>
      <c r="D308" s="615">
        <v>0</v>
      </c>
      <c r="E308" s="616"/>
      <c r="F308" s="620">
        <f>C294+C293</f>
        <v>0</v>
      </c>
      <c r="G308" s="620"/>
      <c r="I308"/>
      <c r="J308" s="3"/>
      <c r="K308" s="3"/>
      <c r="L308" s="3"/>
      <c r="N308" s="3"/>
    </row>
    <row r="309" spans="1:15" hidden="1" outlineLevel="1" x14ac:dyDescent="0.25">
      <c r="H309"/>
      <c r="I309" s="3"/>
      <c r="J309" s="3"/>
      <c r="K309" s="3"/>
      <c r="M309" s="3"/>
    </row>
    <row r="310" spans="1:15" hidden="1" outlineLevel="1" x14ac:dyDescent="0.25">
      <c r="I310" s="3"/>
      <c r="J310" s="3"/>
      <c r="K310" s="3"/>
      <c r="M310" s="3"/>
    </row>
    <row r="311" spans="1:15" hidden="1" outlineLevel="1" x14ac:dyDescent="0.25">
      <c r="B311" s="6" t="s">
        <v>10</v>
      </c>
      <c r="C311" s="6"/>
      <c r="D311" s="6"/>
      <c r="E311" s="6"/>
      <c r="F311" s="5"/>
      <c r="G311" s="5"/>
      <c r="H311"/>
      <c r="J311" s="3"/>
      <c r="K311" s="3"/>
      <c r="M311" s="3"/>
    </row>
    <row r="312" spans="1:15" hidden="1" outlineLevel="1" x14ac:dyDescent="0.25">
      <c r="B312" s="9" t="s">
        <v>15</v>
      </c>
      <c r="C312" s="9" t="s">
        <v>16</v>
      </c>
      <c r="D312" s="627" t="s">
        <v>1</v>
      </c>
      <c r="E312" s="627"/>
      <c r="F312" s="203" t="s">
        <v>21</v>
      </c>
      <c r="G312" s="203" t="s">
        <v>4</v>
      </c>
      <c r="J312" s="3"/>
      <c r="K312" s="3"/>
      <c r="M312" s="3"/>
    </row>
    <row r="313" spans="1:15" hidden="1" outlineLevel="1" x14ac:dyDescent="0.25">
      <c r="B313" s="7" t="s">
        <v>236</v>
      </c>
      <c r="C313" s="7" t="s">
        <v>119</v>
      </c>
      <c r="D313" s="612">
        <f>IF(OR(E284=Sources!$B$14,E284=Sources!$B$15,E284=Sources!$B$23,E284=Sources!$B$24),Sources!$D$4,IF(OR(E284=Sources!$B$16,E284=Sources!$B$17,E284=Sources!$B$18),Sources!$D$6,Sources!$D$7))</f>
        <v>1.367</v>
      </c>
      <c r="E313" s="613"/>
      <c r="F313" s="140">
        <f>Sources!$C$8</f>
        <v>0.24</v>
      </c>
      <c r="J313" s="3"/>
      <c r="K313" s="3"/>
      <c r="M313" s="3"/>
    </row>
    <row r="314" spans="1:15" hidden="1" outlineLevel="1" x14ac:dyDescent="0.25">
      <c r="B314" s="7" t="s">
        <v>35</v>
      </c>
      <c r="C314" s="7" t="s">
        <v>119</v>
      </c>
      <c r="D314" s="612" t="e">
        <f>D313*(1+Sources!C$9)^(C288-2020)*(1-(1+Sources!C$9)^C289)/(-Sources!C$9*C289)</f>
        <v>#DIV/0!</v>
      </c>
      <c r="E314" s="613"/>
      <c r="F314" s="140" t="e">
        <f>Sources!C$8*(1+Sources!C$10)^(C288-2019)*(1-(1+Sources!C$10)^C289)/(-Sources!C$10*C289)</f>
        <v>#DIV/0!</v>
      </c>
      <c r="G314" s="140">
        <f>IFERROR(Hypothèses!H17*(1+L$8)^(C288-L$7)*(1-(1+L$8)^C289)/(-L$8*C289),Hypothèses!H17)</f>
        <v>0</v>
      </c>
      <c r="J314" s="3"/>
      <c r="K314" s="3"/>
      <c r="M314" s="3"/>
    </row>
    <row r="315" spans="1:15" collapsed="1" x14ac:dyDescent="0.25"/>
    <row r="316" spans="1:15" s="628" customFormat="1" ht="18.75" x14ac:dyDescent="0.3">
      <c r="A316" s="628" t="s">
        <v>62</v>
      </c>
    </row>
    <row r="317" spans="1:15" x14ac:dyDescent="0.25">
      <c r="A317" s="229">
        <f>IF(AND(F337&gt;0,C322&gt;0,IFERROR(K333,0)&gt;0),1,0)</f>
        <v>0</v>
      </c>
      <c r="B317" s="4"/>
    </row>
    <row r="318" spans="1:15" ht="18.75" x14ac:dyDescent="0.3">
      <c r="B318" s="4"/>
      <c r="E318" s="637" t="str">
        <f>IF(Hypothèses!B18&lt;&gt;0,Hypothèses!B18,"")</f>
        <v/>
      </c>
      <c r="F318" s="637"/>
      <c r="G318" s="637"/>
      <c r="H318" s="637"/>
      <c r="I318" s="637"/>
      <c r="O318" s="4"/>
    </row>
    <row r="319" spans="1:15" hidden="1" outlineLevel="1" x14ac:dyDescent="0.25">
      <c r="A319" s="4" t="s">
        <v>54</v>
      </c>
      <c r="B319" s="632" t="str">
        <f>B$13</f>
        <v>Modèle du véhicule (constructeur, nom commercial) :</v>
      </c>
      <c r="C319" s="632"/>
      <c r="D319" s="632"/>
      <c r="E319" s="614"/>
      <c r="F319" s="614"/>
      <c r="G319" s="614"/>
      <c r="H319" s="614"/>
      <c r="I319" s="614"/>
      <c r="O319" s="4"/>
    </row>
    <row r="320" spans="1:15" hidden="1" outlineLevel="1" x14ac:dyDescent="0.25">
      <c r="O320" s="4"/>
    </row>
    <row r="321" spans="2:17" hidden="1" outlineLevel="1" x14ac:dyDescent="0.25">
      <c r="B321" s="6" t="s">
        <v>13</v>
      </c>
      <c r="C321" s="6"/>
      <c r="D321" s="6"/>
      <c r="E321" s="6"/>
      <c r="F321" s="6"/>
      <c r="G321" s="6"/>
      <c r="I321" s="6" t="s">
        <v>22</v>
      </c>
      <c r="J321" s="6"/>
      <c r="K321" s="6"/>
      <c r="L321" s="6"/>
      <c r="Q321" s="4"/>
    </row>
    <row r="322" spans="2:17" hidden="1" outlineLevel="1" x14ac:dyDescent="0.25">
      <c r="B322" s="7" t="s">
        <v>36</v>
      </c>
      <c r="C322" s="230"/>
      <c r="I322" s="9" t="s">
        <v>15</v>
      </c>
      <c r="J322" s="9" t="s">
        <v>16</v>
      </c>
      <c r="K322" s="9" t="s">
        <v>1</v>
      </c>
      <c r="L322" s="9" t="s">
        <v>4</v>
      </c>
      <c r="Q322" s="4"/>
    </row>
    <row r="323" spans="2:17" hidden="1" outlineLevel="1" x14ac:dyDescent="0.25">
      <c r="B323" s="7" t="s">
        <v>240</v>
      </c>
      <c r="C323" s="231"/>
      <c r="I323" s="11" t="s">
        <v>31</v>
      </c>
      <c r="J323" s="11" t="s">
        <v>2</v>
      </c>
      <c r="K323" s="12" t="e">
        <f>SUM(K324:K326)</f>
        <v>#N/A</v>
      </c>
      <c r="L323" s="12" t="e">
        <f>SUM(L324:L326)</f>
        <v>#N/A</v>
      </c>
    </row>
    <row r="324" spans="2:17" hidden="1" outlineLevel="1" x14ac:dyDescent="0.25">
      <c r="B324" s="7" t="s">
        <v>44</v>
      </c>
      <c r="C324" s="231"/>
      <c r="I324" s="10" t="s">
        <v>3</v>
      </c>
      <c r="J324" s="10" t="s">
        <v>2</v>
      </c>
      <c r="K324" s="59" t="e">
        <f>IF(E335&gt;0,E335,D335)</f>
        <v>#N/A</v>
      </c>
      <c r="L324" s="59" t="e">
        <f>IF(G335&gt;0,G335,F335)</f>
        <v>#N/A</v>
      </c>
      <c r="M324" s="2"/>
    </row>
    <row r="325" spans="2:17" hidden="1" outlineLevel="1" x14ac:dyDescent="0.25">
      <c r="B325" s="7" t="s">
        <v>11</v>
      </c>
      <c r="C325" s="59">
        <f>Hypothèses!C18</f>
        <v>0</v>
      </c>
      <c r="I325" s="7" t="s">
        <v>33</v>
      </c>
      <c r="J325" s="10" t="s">
        <v>2</v>
      </c>
      <c r="K325" s="59">
        <f>-D342</f>
        <v>0</v>
      </c>
      <c r="L325" s="59">
        <f>-F342</f>
        <v>0</v>
      </c>
    </row>
    <row r="326" spans="2:17" hidden="1" outlineLevel="1" x14ac:dyDescent="0.25">
      <c r="B326" s="7" t="s">
        <v>12</v>
      </c>
      <c r="C326" s="59">
        <f>IFERROR(C325/C324,0)</f>
        <v>0</v>
      </c>
      <c r="I326" s="7" t="s">
        <v>20</v>
      </c>
      <c r="J326" s="10" t="s">
        <v>2</v>
      </c>
      <c r="K326" s="59" t="e">
        <f>-D336*K324</f>
        <v>#N/A</v>
      </c>
      <c r="L326" s="59" t="e">
        <f>-F336*L324</f>
        <v>#N/A</v>
      </c>
    </row>
    <row r="327" spans="2:17" hidden="1" outlineLevel="1" x14ac:dyDescent="0.25">
      <c r="B327" s="7" t="s">
        <v>241</v>
      </c>
      <c r="C327" s="231"/>
      <c r="F327"/>
      <c r="G327"/>
      <c r="I327" s="11" t="s">
        <v>30</v>
      </c>
      <c r="J327" s="11" t="s">
        <v>2</v>
      </c>
      <c r="K327" s="12" t="e">
        <f>SUM(K328:K331)</f>
        <v>#N/A</v>
      </c>
      <c r="L327" s="12" t="e">
        <f>SUM(L328:L331)</f>
        <v>#VALUE!</v>
      </c>
    </row>
    <row r="328" spans="2:17" hidden="1" outlineLevel="1" x14ac:dyDescent="0.25">
      <c r="B328" s="7" t="s">
        <v>242</v>
      </c>
      <c r="C328" s="231"/>
      <c r="F328"/>
      <c r="G328"/>
      <c r="I328" s="10" t="s">
        <v>0</v>
      </c>
      <c r="J328" s="10" t="s">
        <v>2</v>
      </c>
      <c r="K328" s="59" t="e">
        <f>C323*D338</f>
        <v>#N/A</v>
      </c>
      <c r="L328" s="59">
        <f>C323*F338</f>
        <v>0</v>
      </c>
      <c r="M328" s="2"/>
    </row>
    <row r="329" spans="2:17" hidden="1" outlineLevel="1" x14ac:dyDescent="0.25">
      <c r="I329" s="7" t="s">
        <v>24</v>
      </c>
      <c r="J329" s="10" t="s">
        <v>2</v>
      </c>
      <c r="K329" s="59" t="e">
        <f>IF(E339&gt;0,E339,D339)*C323</f>
        <v>#N/A</v>
      </c>
      <c r="L329" s="59">
        <f>C323*F339</f>
        <v>0</v>
      </c>
    </row>
    <row r="330" spans="2:17" hidden="1" outlineLevel="1" x14ac:dyDescent="0.25">
      <c r="B330" s="6" t="s">
        <v>14</v>
      </c>
      <c r="C330" s="6"/>
      <c r="D330" s="6"/>
      <c r="E330" s="6"/>
      <c r="F330" s="6"/>
      <c r="G330" s="6"/>
      <c r="I330" s="7" t="s">
        <v>29</v>
      </c>
      <c r="J330" s="10" t="s">
        <v>2</v>
      </c>
      <c r="K330" s="59" t="e">
        <f>$C323*$C325*(1/100)*IF(E333&gt;0,E333,D333)*D348</f>
        <v>#N/A</v>
      </c>
      <c r="L330" s="59" t="e">
        <f>C323*C325*(1/100)*F332*G348+IFERROR(C323*C325*(1/100)*IF(G334&gt;0,G334,F334)*F348,0)</f>
        <v>#VALUE!</v>
      </c>
    </row>
    <row r="331" spans="2:17" hidden="1" outlineLevel="1" x14ac:dyDescent="0.25">
      <c r="B331" s="9" t="s">
        <v>15</v>
      </c>
      <c r="C331" s="9" t="s">
        <v>16</v>
      </c>
      <c r="D331" s="627" t="s">
        <v>1</v>
      </c>
      <c r="E331" s="627"/>
      <c r="F331" s="627" t="s">
        <v>4</v>
      </c>
      <c r="G331" s="627"/>
      <c r="I331" s="7" t="s">
        <v>23</v>
      </c>
      <c r="J331" s="10" t="s">
        <v>2</v>
      </c>
      <c r="K331" s="60">
        <f>IFERROR(C323*D340,0)+D341</f>
        <v>0</v>
      </c>
      <c r="L331" s="60">
        <f>IFERROR(C323*F340,0)+F341</f>
        <v>0</v>
      </c>
    </row>
    <row r="332" spans="2:17" hidden="1" outlineLevel="1" x14ac:dyDescent="0.25">
      <c r="B332" s="7" t="s">
        <v>18</v>
      </c>
      <c r="C332" s="7" t="s">
        <v>5</v>
      </c>
      <c r="D332" s="615" t="s">
        <v>6</v>
      </c>
      <c r="E332" s="616"/>
      <c r="F332" s="617" t="str">
        <f>IF(Hypothèses!G18&gt;0,Hypothèses!G18,Hypothèses!E18)</f>
        <v/>
      </c>
      <c r="G332" s="617"/>
      <c r="I332" s="13" t="s">
        <v>8</v>
      </c>
      <c r="J332" s="14"/>
      <c r="K332" s="15" t="e">
        <f>K323+K327</f>
        <v>#N/A</v>
      </c>
      <c r="L332" s="15" t="e">
        <f t="shared" ref="L332" si="8">L323+L327</f>
        <v>#N/A</v>
      </c>
    </row>
    <row r="333" spans="2:17" hidden="1" outlineLevel="1" x14ac:dyDescent="0.25">
      <c r="B333" s="7" t="s">
        <v>17</v>
      </c>
      <c r="C333" s="7" t="s">
        <v>32</v>
      </c>
      <c r="D333" s="142" t="e">
        <f>VLOOKUP($E318,Sources!$B$53:$D$62,3,FALSE)</f>
        <v>#N/A</v>
      </c>
      <c r="E333" s="234"/>
      <c r="F333" s="617" t="s">
        <v>6</v>
      </c>
      <c r="G333" s="617"/>
      <c r="I333" s="7" t="s">
        <v>27</v>
      </c>
      <c r="J333" s="10" t="s">
        <v>2</v>
      </c>
      <c r="K333" s="621" t="e">
        <f>L332-K332</f>
        <v>#N/A</v>
      </c>
      <c r="L333" s="621"/>
    </row>
    <row r="334" spans="2:17" hidden="1" outlineLevel="1" x14ac:dyDescent="0.25">
      <c r="B334" s="7" t="s">
        <v>123</v>
      </c>
      <c r="C334" s="7" t="s">
        <v>7</v>
      </c>
      <c r="D334" s="615" t="s">
        <v>6</v>
      </c>
      <c r="E334" s="616"/>
      <c r="F334" s="144" t="e">
        <f>IF(E318=Sources!$B$53,15.5-F332*0.35*33.3,VLOOKUP(E318,Sources!$B$53:$D$62,2,FALSE))</f>
        <v>#N/A</v>
      </c>
      <c r="G334" s="235"/>
      <c r="I334" s="7" t="s">
        <v>27</v>
      </c>
      <c r="J334" s="10" t="s">
        <v>9</v>
      </c>
      <c r="K334" s="622">
        <f>IFERROR(K333/K332,0)</f>
        <v>0</v>
      </c>
      <c r="L334" s="622"/>
    </row>
    <row r="335" spans="2:17" hidden="1" outlineLevel="1" x14ac:dyDescent="0.25">
      <c r="B335" s="8" t="s">
        <v>19</v>
      </c>
      <c r="C335" s="10" t="s">
        <v>2</v>
      </c>
      <c r="D335" s="232" t="e">
        <f>VLOOKUP($E318,Sources!$B$14:$D$23,2,FALSE)</f>
        <v>#N/A</v>
      </c>
      <c r="E335" s="236"/>
      <c r="F335" s="232" t="e">
        <f>VLOOKUP($E318,Sources!$B$14:$D$23,3,FALSE)</f>
        <v>#N/A</v>
      </c>
      <c r="G335" s="236"/>
      <c r="I335" s="7" t="s">
        <v>27</v>
      </c>
      <c r="J335" s="16" t="s">
        <v>28</v>
      </c>
      <c r="K335" s="623">
        <f>IFERROR((L332-K332)/(C323*C325),0)</f>
        <v>0</v>
      </c>
      <c r="L335" s="623"/>
    </row>
    <row r="336" spans="2:17" hidden="1" outlineLevel="1" x14ac:dyDescent="0.25">
      <c r="B336" s="7" t="s">
        <v>20</v>
      </c>
      <c r="C336" s="81" t="s">
        <v>9</v>
      </c>
      <c r="D336" s="624" t="e">
        <f>IF(OR($C323&gt;VLOOKUP($E318,Sources!$B$82:$G$91,6,FALSE),$C323*$C325&gt;VLOOKUP($E318,Sources!$B$96:$G$105,6,FALSE)),0,MIN(VLOOKUP($E318,Sources!$B$82:$F$91,2,FALSE)*$C323^3+VLOOKUP($E318,Sources!$B$82:$F$91,3,FALSE)*$C323^2+VLOOKUP($E318,Sources!$B$82:$F$91,4,FALSE)*$C323+VLOOKUP($E318,Sources!$B$82:$F$91,5,FALSE),VLOOKUP($E318,Sources!$B$96:$F$105,2,FALSE)*($C323*$C325)^3+VLOOKUP($E318,Sources!$B$96:$F$105,3,FALSE)*($C323*$C325)^2+VLOOKUP($E318,Sources!$B$96:$F$105,4,FALSE)*$C323*$C325+VLOOKUP($E318,Sources!$B$96:$F$105,5,FALSE)))</f>
        <v>#N/A</v>
      </c>
      <c r="E336" s="625"/>
      <c r="F336" s="626" t="e">
        <f>IF(OR($C323&gt;VLOOKUP($E318,Sources!$B$82:$G$91,6,FALSE),$C323*$C325&gt;VLOOKUP($E318,Sources!$B$96:$G$105,6,FALSE)),0,(1-Sources!$D$77)*MIN(VLOOKUP($E318,Sources!$B$82:$F$91,2,FALSE)*$C323^3+VLOOKUP($E318,Sources!$B$82:$F$91,3,FALSE)*$C323^2+VLOOKUP($E318,Sources!$B$82:$F$91,4,FALSE)*$C323+VLOOKUP($E318,Sources!$B$82:$F$91,5,FALSE),VLOOKUP($E318,Sources!$B$96:$F$105,2,FALSE)*($C323*$C325)^3+VLOOKUP($E318,Sources!$B$96:$F$105,3,FALSE)*($C323*$C325)^2+VLOOKUP($E318,Sources!$B$96:$F$105,4,FALSE)*$C323*$C325+VLOOKUP($E318,Sources!$B$96:$F$105,5,FALSE)))</f>
        <v>#N/A</v>
      </c>
      <c r="G336" s="626"/>
      <c r="I336"/>
      <c r="K336" s="3"/>
      <c r="M336" s="3"/>
      <c r="N336" s="3"/>
    </row>
    <row r="337" spans="1:15" hidden="1" outlineLevel="1" x14ac:dyDescent="0.25">
      <c r="B337" s="10" t="s">
        <v>0</v>
      </c>
      <c r="C337" s="7" t="s">
        <v>43</v>
      </c>
      <c r="D337" s="143" t="e">
        <f>VLOOKUP($E318,Sources!$B$27:$D$36,2,FALSE)</f>
        <v>#N/A</v>
      </c>
      <c r="E337" s="237"/>
      <c r="F337" s="614"/>
      <c r="G337" s="614"/>
      <c r="I337"/>
      <c r="K337" s="3"/>
      <c r="L337" s="3"/>
      <c r="N337" s="3"/>
    </row>
    <row r="338" spans="1:15" hidden="1" outlineLevel="1" x14ac:dyDescent="0.25">
      <c r="B338" s="10" t="s">
        <v>0</v>
      </c>
      <c r="C338" s="7" t="s">
        <v>34</v>
      </c>
      <c r="D338" s="615" t="e">
        <f>IF(E337&gt;0,E337,D337)*C325</f>
        <v>#N/A</v>
      </c>
      <c r="E338" s="616"/>
      <c r="F338" s="617">
        <f>F337*C325</f>
        <v>0</v>
      </c>
      <c r="G338" s="617"/>
      <c r="I338"/>
      <c r="K338" s="3"/>
      <c r="L338" s="3"/>
      <c r="N338" s="3"/>
    </row>
    <row r="339" spans="1:15" hidden="1" outlineLevel="1" x14ac:dyDescent="0.25">
      <c r="B339" s="7" t="s">
        <v>24</v>
      </c>
      <c r="C339" s="7" t="s">
        <v>34</v>
      </c>
      <c r="D339" s="232" t="e">
        <f>VLOOKUP($E318,Sources!$B$40:$D$49,2,FALSE)</f>
        <v>#N/A</v>
      </c>
      <c r="E339" s="236"/>
      <c r="F339" s="614"/>
      <c r="G339" s="614"/>
      <c r="I339"/>
      <c r="K339" s="3"/>
      <c r="L339" s="3"/>
      <c r="N339" s="3"/>
    </row>
    <row r="340" spans="1:15" hidden="1" outlineLevel="1" x14ac:dyDescent="0.25">
      <c r="B340" s="7" t="s">
        <v>26</v>
      </c>
      <c r="C340" s="7" t="s">
        <v>34</v>
      </c>
      <c r="D340" s="615">
        <v>0</v>
      </c>
      <c r="E340" s="616"/>
      <c r="F340" s="614"/>
      <c r="G340" s="614"/>
      <c r="I340"/>
      <c r="J340"/>
      <c r="K340" s="3"/>
      <c r="L340" s="3"/>
      <c r="N340" s="3"/>
    </row>
    <row r="341" spans="1:15" hidden="1" outlineLevel="1" x14ac:dyDescent="0.25">
      <c r="B341" s="7" t="s">
        <v>209</v>
      </c>
      <c r="C341" s="7" t="s">
        <v>2</v>
      </c>
      <c r="D341" s="618"/>
      <c r="E341" s="619"/>
      <c r="F341" s="614"/>
      <c r="G341" s="614"/>
      <c r="I341"/>
      <c r="J341"/>
      <c r="K341" s="3"/>
      <c r="L341" s="3"/>
      <c r="N341" s="3"/>
    </row>
    <row r="342" spans="1:15" hidden="1" outlineLevel="1" x14ac:dyDescent="0.25">
      <c r="B342" s="7" t="s">
        <v>25</v>
      </c>
      <c r="C342" s="10" t="s">
        <v>2</v>
      </c>
      <c r="D342" s="615">
        <v>0</v>
      </c>
      <c r="E342" s="616"/>
      <c r="F342" s="620">
        <f>C328+C327</f>
        <v>0</v>
      </c>
      <c r="G342" s="620"/>
      <c r="I342"/>
      <c r="J342" s="3"/>
      <c r="K342" s="3"/>
      <c r="L342" s="3"/>
      <c r="N342" s="3"/>
    </row>
    <row r="343" spans="1:15" hidden="1" outlineLevel="1" x14ac:dyDescent="0.25">
      <c r="H343"/>
      <c r="I343" s="3"/>
      <c r="J343" s="3"/>
      <c r="K343" s="3"/>
      <c r="M343" s="3"/>
    </row>
    <row r="344" spans="1:15" hidden="1" outlineLevel="1" x14ac:dyDescent="0.25">
      <c r="I344" s="3"/>
      <c r="J344" s="3"/>
      <c r="K344" s="3"/>
      <c r="M344" s="3"/>
    </row>
    <row r="345" spans="1:15" hidden="1" outlineLevel="1" x14ac:dyDescent="0.25">
      <c r="B345" s="6" t="s">
        <v>10</v>
      </c>
      <c r="C345" s="6"/>
      <c r="D345" s="6"/>
      <c r="E345" s="6"/>
      <c r="F345" s="5"/>
      <c r="G345" s="5"/>
      <c r="H345"/>
      <c r="J345" s="3"/>
      <c r="K345" s="3"/>
      <c r="M345" s="3"/>
    </row>
    <row r="346" spans="1:15" hidden="1" outlineLevel="1" x14ac:dyDescent="0.25">
      <c r="B346" s="9" t="s">
        <v>15</v>
      </c>
      <c r="C346" s="9" t="s">
        <v>16</v>
      </c>
      <c r="D346" s="627" t="s">
        <v>1</v>
      </c>
      <c r="E346" s="627"/>
      <c r="F346" s="203" t="s">
        <v>21</v>
      </c>
      <c r="G346" s="203" t="s">
        <v>4</v>
      </c>
      <c r="J346" s="3"/>
      <c r="K346" s="3"/>
      <c r="M346" s="3"/>
    </row>
    <row r="347" spans="1:15" hidden="1" outlineLevel="1" x14ac:dyDescent="0.25">
      <c r="B347" s="7" t="s">
        <v>236</v>
      </c>
      <c r="C347" s="7" t="s">
        <v>119</v>
      </c>
      <c r="D347" s="612">
        <f>IF(OR(E318=Sources!$B$14,E318=Sources!$B$15,E318=Sources!$B$23,E318=Sources!$B$24),Sources!$D$4,IF(OR(E318=Sources!$B$16,E318=Sources!$B$17,E318=Sources!$B$18),Sources!$D$6,Sources!$D$7))</f>
        <v>1.367</v>
      </c>
      <c r="E347" s="613"/>
      <c r="F347" s="140">
        <f>Sources!$C$8</f>
        <v>0.24</v>
      </c>
      <c r="J347" s="3"/>
      <c r="K347" s="3"/>
      <c r="M347" s="3"/>
    </row>
    <row r="348" spans="1:15" hidden="1" outlineLevel="1" x14ac:dyDescent="0.25">
      <c r="B348" s="7" t="s">
        <v>35</v>
      </c>
      <c r="C348" s="7" t="s">
        <v>119</v>
      </c>
      <c r="D348" s="612" t="e">
        <f>D347*(1+Sources!C$9)^(C322-2020)*(1-(1+Sources!C$9)^C323)/(-Sources!C$9*C323)</f>
        <v>#DIV/0!</v>
      </c>
      <c r="E348" s="613"/>
      <c r="F348" s="140" t="e">
        <f>Sources!C$8*(1+Sources!C$10)^(C322-2019)*(1-(1+Sources!C$10)^C323)/(-Sources!C$10*C323)</f>
        <v>#DIV/0!</v>
      </c>
      <c r="G348" s="140">
        <f>IFERROR(Hypothèses!H18*(1+L$8)^(C322-L$7)*(1-(1+L$8)^C323)/(-L$8*C323),Hypothèses!H18)</f>
        <v>0</v>
      </c>
      <c r="J348" s="3"/>
      <c r="K348" s="3"/>
      <c r="M348" s="3"/>
    </row>
    <row r="349" spans="1:15" collapsed="1" x14ac:dyDescent="0.25"/>
    <row r="350" spans="1:15" s="628" customFormat="1" ht="15" customHeight="1" x14ac:dyDescent="0.3">
      <c r="A350" s="628" t="s">
        <v>213</v>
      </c>
    </row>
    <row r="351" spans="1:15" x14ac:dyDescent="0.25">
      <c r="A351" s="229">
        <f>IF(AND(F371&gt;0,C356&gt;0,IFERROR(K367,0)&gt;0),1,0)</f>
        <v>0</v>
      </c>
      <c r="B351" s="4"/>
    </row>
    <row r="352" spans="1:15" ht="18.75" x14ac:dyDescent="0.3">
      <c r="B352" s="4"/>
      <c r="E352" s="629" t="str">
        <f>IF(Hypothèses!B19&lt;&gt;0,Hypothèses!B19,"")</f>
        <v/>
      </c>
      <c r="F352" s="630"/>
      <c r="G352" s="630"/>
      <c r="H352" s="630"/>
      <c r="I352" s="631"/>
      <c r="O352" s="4"/>
    </row>
    <row r="353" spans="1:17" hidden="1" outlineLevel="1" x14ac:dyDescent="0.25">
      <c r="A353" s="4" t="s">
        <v>54</v>
      </c>
      <c r="B353" s="632" t="s">
        <v>114</v>
      </c>
      <c r="C353" s="632"/>
      <c r="D353" s="632"/>
      <c r="E353" s="633"/>
      <c r="F353" s="634"/>
      <c r="G353" s="634"/>
      <c r="H353" s="634"/>
      <c r="I353" s="635"/>
      <c r="O353" s="4"/>
    </row>
    <row r="354" spans="1:17" hidden="1" outlineLevel="1" x14ac:dyDescent="0.25">
      <c r="O354" s="4"/>
    </row>
    <row r="355" spans="1:17" hidden="1" outlineLevel="1" x14ac:dyDescent="0.25">
      <c r="B355" s="6" t="s">
        <v>13</v>
      </c>
      <c r="C355" s="6"/>
      <c r="D355" s="6"/>
      <c r="E355" s="6"/>
      <c r="F355" s="6"/>
      <c r="G355" s="6"/>
      <c r="I355" s="6" t="s">
        <v>22</v>
      </c>
      <c r="J355" s="6"/>
      <c r="K355" s="6"/>
      <c r="L355" s="6"/>
      <c r="Q355" s="4"/>
    </row>
    <row r="356" spans="1:17" hidden="1" outlineLevel="1" x14ac:dyDescent="0.25">
      <c r="B356" s="7" t="s">
        <v>36</v>
      </c>
      <c r="C356" s="230"/>
      <c r="I356" s="9" t="s">
        <v>15</v>
      </c>
      <c r="J356" s="9" t="s">
        <v>16</v>
      </c>
      <c r="K356" s="9" t="s">
        <v>1</v>
      </c>
      <c r="L356" s="9" t="s">
        <v>4</v>
      </c>
      <c r="Q356" s="4"/>
    </row>
    <row r="357" spans="1:17" hidden="1" outlineLevel="1" x14ac:dyDescent="0.25">
      <c r="B357" s="7" t="s">
        <v>240</v>
      </c>
      <c r="C357" s="231"/>
      <c r="I357" s="11" t="s">
        <v>31</v>
      </c>
      <c r="J357" s="11" t="s">
        <v>2</v>
      </c>
      <c r="K357" s="12" t="e">
        <f>SUM(K358:K360)</f>
        <v>#N/A</v>
      </c>
      <c r="L357" s="12" t="e">
        <f>SUM(L358:L360)</f>
        <v>#N/A</v>
      </c>
    </row>
    <row r="358" spans="1:17" hidden="1" outlineLevel="1" x14ac:dyDescent="0.25">
      <c r="B358" s="7" t="s">
        <v>44</v>
      </c>
      <c r="C358" s="231"/>
      <c r="I358" s="10" t="s">
        <v>3</v>
      </c>
      <c r="J358" s="10" t="s">
        <v>2</v>
      </c>
      <c r="K358" s="59" t="e">
        <f>IF(E369&gt;0,E369,D369)</f>
        <v>#N/A</v>
      </c>
      <c r="L358" s="59" t="e">
        <f>IF(G369&gt;0,G369,F369)</f>
        <v>#N/A</v>
      </c>
      <c r="M358" s="2"/>
    </row>
    <row r="359" spans="1:17" hidden="1" outlineLevel="1" x14ac:dyDescent="0.25">
      <c r="B359" s="7" t="s">
        <v>11</v>
      </c>
      <c r="C359" s="59">
        <f>Hypothèses!C19</f>
        <v>0</v>
      </c>
      <c r="I359" s="7" t="s">
        <v>33</v>
      </c>
      <c r="J359" s="10" t="s">
        <v>2</v>
      </c>
      <c r="K359" s="59">
        <f>-D376</f>
        <v>0</v>
      </c>
      <c r="L359" s="59">
        <f>-F376</f>
        <v>0</v>
      </c>
    </row>
    <row r="360" spans="1:17" hidden="1" outlineLevel="1" x14ac:dyDescent="0.25">
      <c r="B360" s="7" t="s">
        <v>12</v>
      </c>
      <c r="C360" s="59">
        <f>IFERROR(C359/C358,0)</f>
        <v>0</v>
      </c>
      <c r="I360" s="7" t="s">
        <v>20</v>
      </c>
      <c r="J360" s="10" t="s">
        <v>2</v>
      </c>
      <c r="K360" s="59" t="e">
        <f>-D370*K358</f>
        <v>#N/A</v>
      </c>
      <c r="L360" s="59" t="e">
        <f>-F370*L358</f>
        <v>#N/A</v>
      </c>
    </row>
    <row r="361" spans="1:17" hidden="1" outlineLevel="1" x14ac:dyDescent="0.25">
      <c r="B361" s="7" t="s">
        <v>241</v>
      </c>
      <c r="C361" s="231"/>
      <c r="F361"/>
      <c r="G361"/>
      <c r="I361" s="11" t="s">
        <v>30</v>
      </c>
      <c r="J361" s="11" t="s">
        <v>2</v>
      </c>
      <c r="K361" s="12" t="e">
        <f>SUM(K362:K365)</f>
        <v>#N/A</v>
      </c>
      <c r="L361" s="12" t="e">
        <f>SUM(L362:L365)</f>
        <v>#VALUE!</v>
      </c>
    </row>
    <row r="362" spans="1:17" hidden="1" outlineLevel="1" x14ac:dyDescent="0.25">
      <c r="B362" s="7" t="s">
        <v>242</v>
      </c>
      <c r="C362" s="231"/>
      <c r="D362" s="67"/>
      <c r="E362" s="67"/>
      <c r="F362"/>
      <c r="G362"/>
      <c r="I362" s="10" t="s">
        <v>0</v>
      </c>
      <c r="J362" s="10" t="s">
        <v>2</v>
      </c>
      <c r="K362" s="59" t="e">
        <f>C357*D372</f>
        <v>#N/A</v>
      </c>
      <c r="L362" s="59">
        <f>C357*F372</f>
        <v>0</v>
      </c>
      <c r="M362" s="2"/>
    </row>
    <row r="363" spans="1:17" hidden="1" outlineLevel="1" x14ac:dyDescent="0.25">
      <c r="I363" s="7" t="s">
        <v>24</v>
      </c>
      <c r="J363" s="10" t="s">
        <v>2</v>
      </c>
      <c r="K363" s="59" t="e">
        <f>IF(E373&gt;0,E373,D373)*C357</f>
        <v>#N/A</v>
      </c>
      <c r="L363" s="59">
        <f>C357*F373</f>
        <v>0</v>
      </c>
    </row>
    <row r="364" spans="1:17" hidden="1" outlineLevel="1" x14ac:dyDescent="0.25">
      <c r="B364" s="6" t="s">
        <v>14</v>
      </c>
      <c r="C364" s="6"/>
      <c r="D364" s="6"/>
      <c r="E364" s="6"/>
      <c r="F364" s="6"/>
      <c r="G364" s="6"/>
      <c r="I364" s="7" t="s">
        <v>29</v>
      </c>
      <c r="J364" s="10" t="s">
        <v>2</v>
      </c>
      <c r="K364" s="59" t="e">
        <f>$C357*$C359*(1/100)*IF(E367&gt;0,E367,D367)*D382</f>
        <v>#N/A</v>
      </c>
      <c r="L364" s="59" t="e">
        <f>C357*C359*(1/100)*F366*G382+IFERROR(C357*C359*(1/100)*IF(G368&gt;0,G368,F368)*F382,0)</f>
        <v>#VALUE!</v>
      </c>
    </row>
    <row r="365" spans="1:17" hidden="1" outlineLevel="1" x14ac:dyDescent="0.25">
      <c r="B365" s="9" t="s">
        <v>15</v>
      </c>
      <c r="C365" s="9" t="s">
        <v>16</v>
      </c>
      <c r="D365" s="627" t="s">
        <v>1</v>
      </c>
      <c r="E365" s="627"/>
      <c r="F365" s="636" t="s">
        <v>4</v>
      </c>
      <c r="G365" s="636"/>
      <c r="I365" s="7" t="s">
        <v>23</v>
      </c>
      <c r="J365" s="10" t="s">
        <v>2</v>
      </c>
      <c r="K365" s="60">
        <f>IFERROR(C357*D374,0)+D375</f>
        <v>0</v>
      </c>
      <c r="L365" s="60">
        <f>IFERROR(C357*F374,0)+F375</f>
        <v>0</v>
      </c>
    </row>
    <row r="366" spans="1:17" hidden="1" outlineLevel="1" x14ac:dyDescent="0.25">
      <c r="B366" s="7" t="s">
        <v>18</v>
      </c>
      <c r="C366" s="7" t="s">
        <v>5</v>
      </c>
      <c r="D366" s="615" t="s">
        <v>6</v>
      </c>
      <c r="E366" s="616"/>
      <c r="F366" s="617" t="str">
        <f>IF(Hypothèses!G19&gt;0,Hypothèses!G19,Hypothèses!E19)</f>
        <v/>
      </c>
      <c r="G366" s="617"/>
      <c r="I366" s="13" t="s">
        <v>8</v>
      </c>
      <c r="J366" s="14"/>
      <c r="K366" s="15" t="e">
        <f>K357+K361</f>
        <v>#N/A</v>
      </c>
      <c r="L366" s="15" t="e">
        <f>L357+L361</f>
        <v>#N/A</v>
      </c>
    </row>
    <row r="367" spans="1:17" hidden="1" outlineLevel="1" x14ac:dyDescent="0.25">
      <c r="B367" s="7" t="s">
        <v>17</v>
      </c>
      <c r="C367" s="7" t="s">
        <v>32</v>
      </c>
      <c r="D367" s="142" t="e">
        <f>VLOOKUP($E352,Sources!$B$53:$D$62,3,FALSE)</f>
        <v>#N/A</v>
      </c>
      <c r="E367" s="234"/>
      <c r="F367" s="617" t="s">
        <v>6</v>
      </c>
      <c r="G367" s="617"/>
      <c r="I367" s="7" t="s">
        <v>27</v>
      </c>
      <c r="J367" s="10" t="s">
        <v>2</v>
      </c>
      <c r="K367" s="621" t="e">
        <f>L366-K366</f>
        <v>#N/A</v>
      </c>
      <c r="L367" s="621"/>
    </row>
    <row r="368" spans="1:17" hidden="1" outlineLevel="1" x14ac:dyDescent="0.25">
      <c r="B368" s="7" t="s">
        <v>123</v>
      </c>
      <c r="C368" s="7" t="s">
        <v>7</v>
      </c>
      <c r="D368" s="615" t="s">
        <v>6</v>
      </c>
      <c r="E368" s="616"/>
      <c r="F368" s="144" t="e">
        <f>VLOOKUP(E352,Sources!$B$53:$D$62,2,FALSE)</f>
        <v>#N/A</v>
      </c>
      <c r="G368" s="235"/>
      <c r="I368" s="7" t="s">
        <v>27</v>
      </c>
      <c r="J368" s="10" t="s">
        <v>9</v>
      </c>
      <c r="K368" s="622">
        <f>IFERROR(K367/K366,0)</f>
        <v>0</v>
      </c>
      <c r="L368" s="622"/>
    </row>
    <row r="369" spans="1:14" hidden="1" outlineLevel="1" x14ac:dyDescent="0.25">
      <c r="B369" s="8" t="s">
        <v>19</v>
      </c>
      <c r="C369" s="10" t="s">
        <v>2</v>
      </c>
      <c r="D369" s="232" t="e">
        <f>VLOOKUP($E352,Sources!$B$14:$D$23,2,FALSE)</f>
        <v>#N/A</v>
      </c>
      <c r="E369" s="236"/>
      <c r="F369" s="232" t="e">
        <f>VLOOKUP($E352,Sources!$B$14:$D$23,3,FALSE)</f>
        <v>#N/A</v>
      </c>
      <c r="G369" s="236"/>
      <c r="I369" s="7" t="s">
        <v>27</v>
      </c>
      <c r="J369" s="16" t="s">
        <v>28</v>
      </c>
      <c r="K369" s="623">
        <f>IFERROR((L366-K366)/(C357*C359),0)</f>
        <v>0</v>
      </c>
      <c r="L369" s="623"/>
    </row>
    <row r="370" spans="1:14" hidden="1" outlineLevel="1" x14ac:dyDescent="0.25">
      <c r="B370" s="16" t="s">
        <v>20</v>
      </c>
      <c r="C370" s="81" t="s">
        <v>9</v>
      </c>
      <c r="D370" s="624" t="e">
        <f>IF(OR($C357&gt;VLOOKUP($E352,Sources!$B$82:$G$91,6,FALSE),$C357*$C359&gt;VLOOKUP($E352,Sources!$B$96:$G$105,6,FALSE)),0,MIN(VLOOKUP($E352,Sources!$B$82:$F$91,2,FALSE)*$C357^3+VLOOKUP($E352,Sources!$B$82:$F$91,3,FALSE)*$C357^2+VLOOKUP($E352,Sources!$B$82:$F$91,4,FALSE)*$C357+VLOOKUP($E352,Sources!$B$82:$F$91,5,FALSE),VLOOKUP($E352,Sources!$B$96:$F$105,2,FALSE)*($C357*$C359)^3+VLOOKUP($E352,Sources!$B$96:$F$105,3,FALSE)*($C357*$C359)^2+VLOOKUP($E352,Sources!$B$96:$F$105,4,FALSE)*$C357*$C359+VLOOKUP($E352,Sources!$B$96:$F$105,5,FALSE)))</f>
        <v>#N/A</v>
      </c>
      <c r="E370" s="625"/>
      <c r="F370" s="626" t="e">
        <f>IF(OR($C357&gt;VLOOKUP($E352,Sources!$B$82:$G$91,6,FALSE),$C357*$C359&gt;VLOOKUP($E352,Sources!$B$96:$G$105,6,FALSE)),0,(1-Sources!$D$77)*MIN(VLOOKUP($E352,Sources!$B$82:$F$91,2,FALSE)*$C357^3+VLOOKUP($E352,Sources!$B$82:$F$91,3,FALSE)*$C357^2+VLOOKUP($E352,Sources!$B$82:$F$91,4,FALSE)*$C357+VLOOKUP($E352,Sources!$B$82:$F$91,5,FALSE),VLOOKUP($E352,Sources!$B$96:$F$105,2,FALSE)*($C357*$C359)^3+VLOOKUP($E352,Sources!$B$96:$F$105,3,FALSE)*($C357*$C359)^2+VLOOKUP($E352,Sources!$B$96:$F$105,4,FALSE)*$C357*$C359+VLOOKUP($E352,Sources!$B$96:$F$105,5,FALSE)))</f>
        <v>#N/A</v>
      </c>
      <c r="G370" s="626"/>
      <c r="I370"/>
      <c r="K370" s="3"/>
      <c r="M370" s="3"/>
      <c r="N370" s="3"/>
    </row>
    <row r="371" spans="1:14" hidden="1" outlineLevel="1" x14ac:dyDescent="0.25">
      <c r="B371" s="7" t="s">
        <v>0</v>
      </c>
      <c r="C371" s="7" t="s">
        <v>43</v>
      </c>
      <c r="D371" s="143" t="e">
        <f>VLOOKUP($E352,Sources!$B$27:$D$36,2,FALSE)</f>
        <v>#N/A</v>
      </c>
      <c r="E371" s="237"/>
      <c r="F371" s="614"/>
      <c r="G371" s="614"/>
      <c r="I371"/>
      <c r="K371" s="3"/>
      <c r="L371" s="3"/>
      <c r="N371" s="3"/>
    </row>
    <row r="372" spans="1:14" hidden="1" outlineLevel="1" x14ac:dyDescent="0.25">
      <c r="B372" s="10" t="s">
        <v>0</v>
      </c>
      <c r="C372" s="7" t="s">
        <v>34</v>
      </c>
      <c r="D372" s="615" t="e">
        <f>IF(E371&gt;0,E371,D371)*C359</f>
        <v>#N/A</v>
      </c>
      <c r="E372" s="616"/>
      <c r="F372" s="617">
        <f>F371*C359</f>
        <v>0</v>
      </c>
      <c r="G372" s="617"/>
      <c r="I372"/>
      <c r="K372" s="3"/>
      <c r="L372" s="3"/>
      <c r="N372" s="3"/>
    </row>
    <row r="373" spans="1:14" hidden="1" outlineLevel="1" x14ac:dyDescent="0.25">
      <c r="B373" s="7" t="s">
        <v>24</v>
      </c>
      <c r="C373" s="7" t="s">
        <v>34</v>
      </c>
      <c r="D373" s="232" t="e">
        <f>VLOOKUP($E352,Sources!$B$40:$D$49,2,FALSE)</f>
        <v>#N/A</v>
      </c>
      <c r="E373" s="236"/>
      <c r="F373" s="614"/>
      <c r="G373" s="614"/>
      <c r="I373"/>
      <c r="K373" s="3"/>
      <c r="L373" s="3"/>
      <c r="N373" s="3"/>
    </row>
    <row r="374" spans="1:14" hidden="1" outlineLevel="1" x14ac:dyDescent="0.25">
      <c r="B374" s="7" t="s">
        <v>26</v>
      </c>
      <c r="C374" s="7" t="s">
        <v>34</v>
      </c>
      <c r="D374" s="615">
        <v>0</v>
      </c>
      <c r="E374" s="616"/>
      <c r="F374" s="614"/>
      <c r="G374" s="614"/>
      <c r="I374"/>
      <c r="J374"/>
      <c r="K374" s="3"/>
      <c r="L374" s="3"/>
      <c r="N374" s="3"/>
    </row>
    <row r="375" spans="1:14" hidden="1" outlineLevel="1" x14ac:dyDescent="0.25">
      <c r="B375" s="7" t="s">
        <v>209</v>
      </c>
      <c r="C375" s="7" t="s">
        <v>2</v>
      </c>
      <c r="D375" s="618"/>
      <c r="E375" s="619"/>
      <c r="F375" s="614"/>
      <c r="G375" s="614"/>
      <c r="I375"/>
      <c r="J375"/>
      <c r="K375" s="3"/>
      <c r="L375" s="3"/>
      <c r="N375" s="3"/>
    </row>
    <row r="376" spans="1:14" hidden="1" outlineLevel="1" x14ac:dyDescent="0.25">
      <c r="B376" s="7" t="s">
        <v>25</v>
      </c>
      <c r="C376" s="10" t="s">
        <v>2</v>
      </c>
      <c r="D376" s="615">
        <v>0</v>
      </c>
      <c r="E376" s="616"/>
      <c r="F376" s="620">
        <f>C362+C361</f>
        <v>0</v>
      </c>
      <c r="G376" s="620"/>
      <c r="I376"/>
      <c r="J376" s="3"/>
      <c r="K376" s="3"/>
      <c r="L376" s="3"/>
      <c r="N376" s="3"/>
    </row>
    <row r="377" spans="1:14" hidden="1" outlineLevel="1" x14ac:dyDescent="0.25">
      <c r="G377"/>
      <c r="H377" s="3"/>
      <c r="I377" s="3"/>
      <c r="J377" s="3"/>
      <c r="L377" s="3"/>
    </row>
    <row r="378" spans="1:14" hidden="1" outlineLevel="1" x14ac:dyDescent="0.25">
      <c r="H378" s="3"/>
      <c r="I378" s="3"/>
      <c r="J378" s="3"/>
      <c r="L378" s="3"/>
    </row>
    <row r="379" spans="1:14" hidden="1" outlineLevel="1" x14ac:dyDescent="0.25">
      <c r="B379" s="6" t="s">
        <v>10</v>
      </c>
      <c r="C379" s="6"/>
      <c r="D379" s="6"/>
      <c r="E379" s="5"/>
      <c r="F379" s="5"/>
      <c r="G379" s="5"/>
      <c r="I379" s="3"/>
      <c r="J379" s="3"/>
      <c r="L379" s="3"/>
    </row>
    <row r="380" spans="1:14" hidden="1" outlineLevel="1" x14ac:dyDescent="0.25">
      <c r="B380" s="9" t="s">
        <v>15</v>
      </c>
      <c r="C380" s="9" t="s">
        <v>16</v>
      </c>
      <c r="D380" s="627" t="s">
        <v>1</v>
      </c>
      <c r="E380" s="627"/>
      <c r="F380" s="203" t="s">
        <v>21</v>
      </c>
      <c r="G380" s="203" t="s">
        <v>4</v>
      </c>
      <c r="J380" s="3"/>
      <c r="K380" s="3"/>
      <c r="M380" s="3"/>
    </row>
    <row r="381" spans="1:14" hidden="1" outlineLevel="1" x14ac:dyDescent="0.25">
      <c r="B381" s="7" t="s">
        <v>236</v>
      </c>
      <c r="C381" s="7" t="s">
        <v>119</v>
      </c>
      <c r="D381" s="612">
        <f>IF(OR(E352=Sources!$B$14,E352=Sources!$B$15,E352=Sources!$B$23,E352=Sources!$B$24),Sources!$D$4,IF(OR(E352=Sources!$B$16,E352=Sources!$B$17,E352=Sources!$B$18),Sources!$D$6,Sources!$D$7))</f>
        <v>1.367</v>
      </c>
      <c r="E381" s="613"/>
      <c r="F381" s="140">
        <f>Sources!$C$8</f>
        <v>0.24</v>
      </c>
      <c r="J381" s="3"/>
      <c r="K381" s="3"/>
      <c r="M381" s="3"/>
    </row>
    <row r="382" spans="1:14" hidden="1" outlineLevel="1" x14ac:dyDescent="0.25">
      <c r="B382" s="7" t="s">
        <v>35</v>
      </c>
      <c r="C382" s="7" t="s">
        <v>119</v>
      </c>
      <c r="D382" s="612" t="e">
        <f>D381*(1+Sources!C$9)^(C356-2020)*(1-(1+Sources!C$9)^C357)/(-Sources!C$9*C357)</f>
        <v>#DIV/0!</v>
      </c>
      <c r="E382" s="613"/>
      <c r="F382" s="140" t="e">
        <f>Sources!C$8*(1+Sources!C$10)^(C356-2019)*(1-(1+Sources!C$10)^C357)/(-Sources!C$10*C357)</f>
        <v>#DIV/0!</v>
      </c>
      <c r="G382" s="140">
        <f>IFERROR(Hypothèses!H19*(1+L$8)^(C356-L$7)*(1-(1+L$8)^C357)/(-L$8*C357),Hypothèses!H19)</f>
        <v>0</v>
      </c>
      <c r="J382" s="3"/>
      <c r="K382" s="3"/>
      <c r="M382" s="3"/>
    </row>
    <row r="383" spans="1:14" collapsed="1" x14ac:dyDescent="0.25">
      <c r="B383" s="17"/>
      <c r="I383" s="3"/>
      <c r="J383" s="3"/>
      <c r="L383" s="3"/>
    </row>
    <row r="384" spans="1:14" s="628" customFormat="1" ht="15" customHeight="1" x14ac:dyDescent="0.3">
      <c r="A384" s="628" t="s">
        <v>214</v>
      </c>
    </row>
    <row r="385" spans="1:17" x14ac:dyDescent="0.25">
      <c r="A385" s="229">
        <f>IF(AND(F405&gt;0,C390&gt;0,IFERROR(K401,0)&gt;0),1,0)</f>
        <v>0</v>
      </c>
      <c r="B385" s="4"/>
    </row>
    <row r="386" spans="1:17" ht="18.75" x14ac:dyDescent="0.3">
      <c r="B386" s="4"/>
      <c r="E386" s="629" t="str">
        <f>IF(Hypothèses!B20&lt;&gt;0,Hypothèses!B20,"")</f>
        <v/>
      </c>
      <c r="F386" s="630"/>
      <c r="G386" s="630"/>
      <c r="H386" s="630"/>
      <c r="I386" s="631"/>
      <c r="O386" s="4"/>
    </row>
    <row r="387" spans="1:17" hidden="1" outlineLevel="1" x14ac:dyDescent="0.25">
      <c r="A387" s="4" t="s">
        <v>54</v>
      </c>
      <c r="B387" s="632" t="s">
        <v>114</v>
      </c>
      <c r="C387" s="632"/>
      <c r="D387" s="632"/>
      <c r="E387" s="633"/>
      <c r="F387" s="634"/>
      <c r="G387" s="634"/>
      <c r="H387" s="634"/>
      <c r="I387" s="635"/>
      <c r="O387" s="4"/>
    </row>
    <row r="388" spans="1:17" hidden="1" outlineLevel="1" x14ac:dyDescent="0.25">
      <c r="O388" s="4"/>
    </row>
    <row r="389" spans="1:17" hidden="1" outlineLevel="1" x14ac:dyDescent="0.25">
      <c r="B389" s="6" t="s">
        <v>13</v>
      </c>
      <c r="C389" s="6"/>
      <c r="D389" s="6"/>
      <c r="E389" s="6"/>
      <c r="F389" s="6"/>
      <c r="G389" s="6"/>
      <c r="I389" s="6" t="s">
        <v>22</v>
      </c>
      <c r="J389" s="6"/>
      <c r="K389" s="6"/>
      <c r="L389" s="6"/>
      <c r="Q389" s="4"/>
    </row>
    <row r="390" spans="1:17" hidden="1" outlineLevel="1" x14ac:dyDescent="0.25">
      <c r="B390" s="7" t="s">
        <v>36</v>
      </c>
      <c r="C390" s="230"/>
      <c r="I390" s="9" t="s">
        <v>15</v>
      </c>
      <c r="J390" s="9" t="s">
        <v>16</v>
      </c>
      <c r="K390" s="9" t="s">
        <v>1</v>
      </c>
      <c r="L390" s="9" t="s">
        <v>4</v>
      </c>
      <c r="Q390" s="4"/>
    </row>
    <row r="391" spans="1:17" hidden="1" outlineLevel="1" x14ac:dyDescent="0.25">
      <c r="B391" s="7" t="s">
        <v>240</v>
      </c>
      <c r="C391" s="231"/>
      <c r="I391" s="11" t="s">
        <v>31</v>
      </c>
      <c r="J391" s="11" t="s">
        <v>2</v>
      </c>
      <c r="K391" s="12" t="e">
        <f>SUM(K392:K394)</f>
        <v>#N/A</v>
      </c>
      <c r="L391" s="12" t="e">
        <f>SUM(L392:L394)</f>
        <v>#N/A</v>
      </c>
    </row>
    <row r="392" spans="1:17" hidden="1" outlineLevel="1" x14ac:dyDescent="0.25">
      <c r="B392" s="7" t="s">
        <v>44</v>
      </c>
      <c r="C392" s="231"/>
      <c r="I392" s="10" t="s">
        <v>3</v>
      </c>
      <c r="J392" s="10" t="s">
        <v>2</v>
      </c>
      <c r="K392" s="59" t="e">
        <f>IF(E403&gt;0,E403,D403)</f>
        <v>#N/A</v>
      </c>
      <c r="L392" s="59" t="e">
        <f>IF(G403&gt;0,G403,F403)</f>
        <v>#N/A</v>
      </c>
      <c r="M392" s="2"/>
    </row>
    <row r="393" spans="1:17" hidden="1" outlineLevel="1" x14ac:dyDescent="0.25">
      <c r="B393" s="7" t="s">
        <v>11</v>
      </c>
      <c r="C393" s="59">
        <f>Hypothèses!C20</f>
        <v>0</v>
      </c>
      <c r="I393" s="7" t="s">
        <v>33</v>
      </c>
      <c r="J393" s="10" t="s">
        <v>2</v>
      </c>
      <c r="K393" s="59">
        <f>-D410</f>
        <v>0</v>
      </c>
      <c r="L393" s="59">
        <f>-F410</f>
        <v>0</v>
      </c>
    </row>
    <row r="394" spans="1:17" hidden="1" outlineLevel="1" x14ac:dyDescent="0.25">
      <c r="B394" s="7" t="s">
        <v>12</v>
      </c>
      <c r="C394" s="59">
        <f>IFERROR(C393/C392,0)</f>
        <v>0</v>
      </c>
      <c r="I394" s="7" t="s">
        <v>20</v>
      </c>
      <c r="J394" s="10" t="s">
        <v>2</v>
      </c>
      <c r="K394" s="59" t="e">
        <f>-D404*K392</f>
        <v>#N/A</v>
      </c>
      <c r="L394" s="59" t="e">
        <f>-F404*L392</f>
        <v>#N/A</v>
      </c>
    </row>
    <row r="395" spans="1:17" hidden="1" outlineLevel="1" x14ac:dyDescent="0.25">
      <c r="B395" s="7" t="s">
        <v>241</v>
      </c>
      <c r="C395" s="231"/>
      <c r="F395"/>
      <c r="G395"/>
      <c r="I395" s="11" t="s">
        <v>30</v>
      </c>
      <c r="J395" s="11" t="s">
        <v>2</v>
      </c>
      <c r="K395" s="12" t="e">
        <f>SUM(K396:K399)</f>
        <v>#N/A</v>
      </c>
      <c r="L395" s="12" t="e">
        <f>SUM(L396:L399)</f>
        <v>#VALUE!</v>
      </c>
    </row>
    <row r="396" spans="1:17" hidden="1" outlineLevel="1" x14ac:dyDescent="0.25">
      <c r="B396" s="7" t="s">
        <v>242</v>
      </c>
      <c r="C396" s="231"/>
      <c r="D396" s="67"/>
      <c r="E396" s="67"/>
      <c r="F396"/>
      <c r="G396"/>
      <c r="I396" s="10" t="s">
        <v>0</v>
      </c>
      <c r="J396" s="10" t="s">
        <v>2</v>
      </c>
      <c r="K396" s="59" t="e">
        <f>C391*D406</f>
        <v>#N/A</v>
      </c>
      <c r="L396" s="59">
        <f>C391*F406</f>
        <v>0</v>
      </c>
      <c r="M396" s="2"/>
    </row>
    <row r="397" spans="1:17" hidden="1" outlineLevel="1" x14ac:dyDescent="0.25">
      <c r="I397" s="7" t="s">
        <v>24</v>
      </c>
      <c r="J397" s="10" t="s">
        <v>2</v>
      </c>
      <c r="K397" s="59" t="e">
        <f>IF(E407&gt;0,E407,D407)*C391</f>
        <v>#N/A</v>
      </c>
      <c r="L397" s="59">
        <f>C391*F407</f>
        <v>0</v>
      </c>
    </row>
    <row r="398" spans="1:17" hidden="1" outlineLevel="1" x14ac:dyDescent="0.25">
      <c r="B398" s="6" t="s">
        <v>14</v>
      </c>
      <c r="C398" s="6"/>
      <c r="D398" s="6"/>
      <c r="E398" s="6"/>
      <c r="F398" s="6"/>
      <c r="G398" s="6"/>
      <c r="I398" s="7" t="s">
        <v>29</v>
      </c>
      <c r="J398" s="10" t="s">
        <v>2</v>
      </c>
      <c r="K398" s="59" t="e">
        <f>$C391*$C393*(1/100)*IF(E401&gt;0,E401,D401)*D416</f>
        <v>#N/A</v>
      </c>
      <c r="L398" s="59" t="e">
        <f>C391*C393*(1/100)*F400*G416+IFERROR(C391*C393*(1/100)*IF(G402&gt;0,G402,F402)*F416,0)</f>
        <v>#VALUE!</v>
      </c>
    </row>
    <row r="399" spans="1:17" hidden="1" outlineLevel="1" x14ac:dyDescent="0.25">
      <c r="B399" s="9" t="s">
        <v>15</v>
      </c>
      <c r="C399" s="9" t="s">
        <v>16</v>
      </c>
      <c r="D399" s="627" t="s">
        <v>1</v>
      </c>
      <c r="E399" s="627"/>
      <c r="F399" s="636" t="s">
        <v>4</v>
      </c>
      <c r="G399" s="636"/>
      <c r="I399" s="7" t="s">
        <v>23</v>
      </c>
      <c r="J399" s="10" t="s">
        <v>2</v>
      </c>
      <c r="K399" s="60">
        <f>IFERROR(C391*D408,0)+D409</f>
        <v>0</v>
      </c>
      <c r="L399" s="60">
        <f>IFERROR(C391*F408,0)+F409</f>
        <v>0</v>
      </c>
    </row>
    <row r="400" spans="1:17" hidden="1" outlineLevel="1" x14ac:dyDescent="0.25">
      <c r="B400" s="7" t="s">
        <v>18</v>
      </c>
      <c r="C400" s="7" t="s">
        <v>5</v>
      </c>
      <c r="D400" s="615" t="s">
        <v>6</v>
      </c>
      <c r="E400" s="616"/>
      <c r="F400" s="617" t="str">
        <f>IF(Hypothèses!G20&gt;0,Hypothèses!G20,Hypothèses!E20)</f>
        <v/>
      </c>
      <c r="G400" s="617"/>
      <c r="I400" s="13" t="s">
        <v>8</v>
      </c>
      <c r="J400" s="14"/>
      <c r="K400" s="15" t="e">
        <f>K391+K395</f>
        <v>#N/A</v>
      </c>
      <c r="L400" s="15" t="e">
        <f>L391+L395</f>
        <v>#N/A</v>
      </c>
    </row>
    <row r="401" spans="2:14" hidden="1" outlineLevel="1" x14ac:dyDescent="0.25">
      <c r="B401" s="7" t="s">
        <v>17</v>
      </c>
      <c r="C401" s="7" t="s">
        <v>32</v>
      </c>
      <c r="D401" s="142" t="e">
        <f>VLOOKUP($E386,Sources!$B$53:$D$62,3,FALSE)</f>
        <v>#N/A</v>
      </c>
      <c r="E401" s="234"/>
      <c r="F401" s="617" t="s">
        <v>6</v>
      </c>
      <c r="G401" s="617"/>
      <c r="I401" s="7" t="s">
        <v>27</v>
      </c>
      <c r="J401" s="10" t="s">
        <v>2</v>
      </c>
      <c r="K401" s="621" t="e">
        <f>L400-K400</f>
        <v>#N/A</v>
      </c>
      <c r="L401" s="621"/>
    </row>
    <row r="402" spans="2:14" hidden="1" outlineLevel="1" x14ac:dyDescent="0.25">
      <c r="B402" s="7" t="s">
        <v>123</v>
      </c>
      <c r="C402" s="7" t="s">
        <v>7</v>
      </c>
      <c r="D402" s="615" t="s">
        <v>6</v>
      </c>
      <c r="E402" s="616"/>
      <c r="F402" s="144" t="e">
        <f>VLOOKUP(E386,Sources!$B$53:$D$62,2,FALSE)</f>
        <v>#N/A</v>
      </c>
      <c r="G402" s="235"/>
      <c r="I402" s="7" t="s">
        <v>27</v>
      </c>
      <c r="J402" s="10" t="s">
        <v>9</v>
      </c>
      <c r="K402" s="622">
        <f>IFERROR(K401/K400,0)</f>
        <v>0</v>
      </c>
      <c r="L402" s="622"/>
    </row>
    <row r="403" spans="2:14" hidden="1" outlineLevel="1" x14ac:dyDescent="0.25">
      <c r="B403" s="8" t="s">
        <v>19</v>
      </c>
      <c r="C403" s="10" t="s">
        <v>2</v>
      </c>
      <c r="D403" s="232" t="e">
        <f>VLOOKUP($E386,Sources!$B$14:$D$23,2,FALSE)</f>
        <v>#N/A</v>
      </c>
      <c r="E403" s="236"/>
      <c r="F403" s="232" t="e">
        <f>VLOOKUP($E386,Sources!$B$14:$D$23,3,FALSE)</f>
        <v>#N/A</v>
      </c>
      <c r="G403" s="236"/>
      <c r="I403" s="7" t="s">
        <v>27</v>
      </c>
      <c r="J403" s="16" t="s">
        <v>28</v>
      </c>
      <c r="K403" s="623">
        <f>IFERROR((L400-K400)/(C391*C393),0)</f>
        <v>0</v>
      </c>
      <c r="L403" s="623"/>
    </row>
    <row r="404" spans="2:14" hidden="1" outlineLevel="1" x14ac:dyDescent="0.25">
      <c r="B404" s="16" t="s">
        <v>20</v>
      </c>
      <c r="C404" s="81" t="s">
        <v>9</v>
      </c>
      <c r="D404" s="624" t="e">
        <f>IF(OR($C391&gt;VLOOKUP($E386,Sources!$B$82:$G$91,6,FALSE),$C391*$C393&gt;VLOOKUP($E386,Sources!$B$96:$G$105,6,FALSE)),0,MIN(VLOOKUP($E386,Sources!$B$82:$F$91,2,FALSE)*$C391^3+VLOOKUP($E386,Sources!$B$82:$F$91,3,FALSE)*$C391^2+VLOOKUP($E386,Sources!$B$82:$F$91,4,FALSE)*$C391+VLOOKUP($E386,Sources!$B$82:$F$91,5,FALSE),VLOOKUP($E386,Sources!$B$96:$F$105,2,FALSE)*($C391*$C393)^3+VLOOKUP($E386,Sources!$B$96:$F$105,3,FALSE)*($C391*$C393)^2+VLOOKUP($E386,Sources!$B$96:$F$105,4,FALSE)*$C391*$C393+VLOOKUP($E386,Sources!$B$96:$F$105,5,FALSE)))</f>
        <v>#N/A</v>
      </c>
      <c r="E404" s="625"/>
      <c r="F404" s="626" t="e">
        <f>IF(OR($C391&gt;VLOOKUP($E386,Sources!$B$82:$G$91,6,FALSE),$C391*$C393&gt;VLOOKUP($E386,Sources!$B$96:$G$105,6,FALSE)),0,(1-Sources!$D$77)*MIN(VLOOKUP($E386,Sources!$B$82:$F$91,2,FALSE)*$C391^3+VLOOKUP($E386,Sources!$B$82:$F$91,3,FALSE)*$C391^2+VLOOKUP($E386,Sources!$B$82:$F$91,4,FALSE)*$C391+VLOOKUP($E386,Sources!$B$82:$F$91,5,FALSE),VLOOKUP($E386,Sources!$B$96:$F$105,2,FALSE)*($C391*$C393)^3+VLOOKUP($E386,Sources!$B$96:$F$105,3,FALSE)*($C391*$C393)^2+VLOOKUP($E386,Sources!$B$96:$F$105,4,FALSE)*$C391*$C393+VLOOKUP($E386,Sources!$B$96:$F$105,5,FALSE)))</f>
        <v>#N/A</v>
      </c>
      <c r="G404" s="626"/>
      <c r="I404"/>
      <c r="K404" s="3"/>
      <c r="M404" s="3"/>
      <c r="N404" s="3"/>
    </row>
    <row r="405" spans="2:14" hidden="1" outlineLevel="1" x14ac:dyDescent="0.25">
      <c r="B405" s="7" t="s">
        <v>0</v>
      </c>
      <c r="C405" s="7" t="s">
        <v>43</v>
      </c>
      <c r="D405" s="143" t="e">
        <f>VLOOKUP($E386,Sources!$B$27:$D$36,2,FALSE)</f>
        <v>#N/A</v>
      </c>
      <c r="E405" s="237"/>
      <c r="F405" s="614"/>
      <c r="G405" s="614"/>
      <c r="I405"/>
      <c r="K405" s="3"/>
      <c r="L405" s="3"/>
      <c r="N405" s="3"/>
    </row>
    <row r="406" spans="2:14" hidden="1" outlineLevel="1" x14ac:dyDescent="0.25">
      <c r="B406" s="10" t="s">
        <v>0</v>
      </c>
      <c r="C406" s="7" t="s">
        <v>34</v>
      </c>
      <c r="D406" s="615" t="e">
        <f>IF(E405&gt;0,E405,D405)*C393</f>
        <v>#N/A</v>
      </c>
      <c r="E406" s="616"/>
      <c r="F406" s="617">
        <f>F405*C393</f>
        <v>0</v>
      </c>
      <c r="G406" s="617"/>
      <c r="I406"/>
      <c r="K406" s="3"/>
      <c r="L406" s="3"/>
      <c r="N406" s="3"/>
    </row>
    <row r="407" spans="2:14" hidden="1" outlineLevel="1" x14ac:dyDescent="0.25">
      <c r="B407" s="7" t="s">
        <v>24</v>
      </c>
      <c r="C407" s="7" t="s">
        <v>34</v>
      </c>
      <c r="D407" s="232" t="e">
        <f>VLOOKUP($E386,Sources!$B$40:$D$49,2,FALSE)</f>
        <v>#N/A</v>
      </c>
      <c r="E407" s="236"/>
      <c r="F407" s="614"/>
      <c r="G407" s="614"/>
      <c r="I407"/>
      <c r="K407" s="3"/>
      <c r="L407" s="3"/>
      <c r="N407" s="3"/>
    </row>
    <row r="408" spans="2:14" hidden="1" outlineLevel="1" x14ac:dyDescent="0.25">
      <c r="B408" s="7" t="s">
        <v>26</v>
      </c>
      <c r="C408" s="7" t="s">
        <v>34</v>
      </c>
      <c r="D408" s="615">
        <v>0</v>
      </c>
      <c r="E408" s="616"/>
      <c r="F408" s="614"/>
      <c r="G408" s="614"/>
      <c r="I408"/>
      <c r="J408"/>
      <c r="K408" s="3"/>
      <c r="L408" s="3"/>
      <c r="N408" s="3"/>
    </row>
    <row r="409" spans="2:14" hidden="1" outlineLevel="1" x14ac:dyDescent="0.25">
      <c r="B409" s="7" t="s">
        <v>209</v>
      </c>
      <c r="C409" s="7" t="s">
        <v>2</v>
      </c>
      <c r="D409" s="618"/>
      <c r="E409" s="619"/>
      <c r="F409" s="614"/>
      <c r="G409" s="614"/>
      <c r="I409"/>
      <c r="J409"/>
      <c r="K409" s="3"/>
      <c r="L409" s="3"/>
      <c r="N409" s="3"/>
    </row>
    <row r="410" spans="2:14" hidden="1" outlineLevel="1" x14ac:dyDescent="0.25">
      <c r="B410" s="7" t="s">
        <v>25</v>
      </c>
      <c r="C410" s="10" t="s">
        <v>2</v>
      </c>
      <c r="D410" s="615">
        <v>0</v>
      </c>
      <c r="E410" s="616"/>
      <c r="F410" s="620">
        <f>C396+C395</f>
        <v>0</v>
      </c>
      <c r="G410" s="620"/>
      <c r="I410"/>
      <c r="J410" s="3"/>
      <c r="K410" s="3"/>
      <c r="L410" s="3"/>
      <c r="N410" s="3"/>
    </row>
    <row r="411" spans="2:14" hidden="1" outlineLevel="1" x14ac:dyDescent="0.25">
      <c r="G411"/>
      <c r="H411" s="3"/>
      <c r="I411" s="3"/>
      <c r="J411" s="3"/>
      <c r="L411" s="3"/>
    </row>
    <row r="412" spans="2:14" hidden="1" outlineLevel="1" x14ac:dyDescent="0.25">
      <c r="H412" s="3"/>
      <c r="I412" s="3"/>
      <c r="J412" s="3"/>
      <c r="L412" s="3"/>
    </row>
    <row r="413" spans="2:14" hidden="1" outlineLevel="1" x14ac:dyDescent="0.25">
      <c r="B413" s="6" t="s">
        <v>10</v>
      </c>
      <c r="C413" s="6"/>
      <c r="D413" s="6"/>
      <c r="E413" s="5"/>
      <c r="F413" s="5"/>
      <c r="G413" s="5"/>
      <c r="I413" s="3"/>
      <c r="J413" s="3"/>
      <c r="L413" s="3"/>
    </row>
    <row r="414" spans="2:14" hidden="1" outlineLevel="1" x14ac:dyDescent="0.25">
      <c r="B414" s="9" t="s">
        <v>15</v>
      </c>
      <c r="C414" s="9" t="s">
        <v>16</v>
      </c>
      <c r="D414" s="627" t="s">
        <v>1</v>
      </c>
      <c r="E414" s="627"/>
      <c r="F414" s="203" t="s">
        <v>21</v>
      </c>
      <c r="G414" s="203" t="s">
        <v>4</v>
      </c>
      <c r="J414" s="3"/>
      <c r="K414" s="3"/>
      <c r="M414" s="3"/>
    </row>
    <row r="415" spans="2:14" hidden="1" outlineLevel="1" x14ac:dyDescent="0.25">
      <c r="B415" s="7" t="s">
        <v>236</v>
      </c>
      <c r="C415" s="7" t="s">
        <v>119</v>
      </c>
      <c r="D415" s="612">
        <f>IF(OR(E386=Sources!$B$14,E386=Sources!$B$15,E386=Sources!$B$23,E386=Sources!$B$24),Sources!$D$4,IF(OR(E386=Sources!$B$16,E386=Sources!$B$17,E386=Sources!$B$18),Sources!$D$6,Sources!$D$7))</f>
        <v>1.367</v>
      </c>
      <c r="E415" s="613"/>
      <c r="F415" s="140">
        <f>Sources!$C$8</f>
        <v>0.24</v>
      </c>
      <c r="J415" s="3"/>
      <c r="K415" s="3"/>
      <c r="M415" s="3"/>
    </row>
    <row r="416" spans="2:14" hidden="1" outlineLevel="1" x14ac:dyDescent="0.25">
      <c r="B416" s="7" t="s">
        <v>35</v>
      </c>
      <c r="C416" s="7" t="s">
        <v>119</v>
      </c>
      <c r="D416" s="612" t="e">
        <f>D415*(1+Sources!C$9)^(C390-2020)*(1-(1+Sources!C$9)^C391)/(-Sources!C$9*C391)</f>
        <v>#DIV/0!</v>
      </c>
      <c r="E416" s="613"/>
      <c r="F416" s="140" t="e">
        <f>Sources!C$8*(1+Sources!C$10)^(C390-2019)*(1-(1+Sources!C$10)^C391)/(-Sources!C$10*C391)</f>
        <v>#DIV/0!</v>
      </c>
      <c r="G416" s="140">
        <f>IFERROR(Hypothèses!H20*(1+L$8)^(C390-L$7)*(1-(1+L$8)^C391)/(-L$8*C391),Hypothèses!H20)</f>
        <v>0</v>
      </c>
      <c r="J416" s="3"/>
      <c r="K416" s="3"/>
      <c r="M416" s="3"/>
    </row>
    <row r="417" spans="1:17" collapsed="1" x14ac:dyDescent="0.25">
      <c r="B417" s="17"/>
      <c r="I417" s="3"/>
      <c r="J417" s="3"/>
      <c r="L417" s="3"/>
    </row>
    <row r="418" spans="1:17" s="628" customFormat="1" ht="15" customHeight="1" x14ac:dyDescent="0.3">
      <c r="A418" s="628" t="s">
        <v>215</v>
      </c>
    </row>
    <row r="419" spans="1:17" x14ac:dyDescent="0.25">
      <c r="A419" s="229">
        <f>IF(AND(F439&gt;0,C424&gt;0,IFERROR(K435,0)&gt;0),1,0)</f>
        <v>0</v>
      </c>
      <c r="B419" s="4"/>
    </row>
    <row r="420" spans="1:17" ht="18.75" x14ac:dyDescent="0.3">
      <c r="B420" s="4"/>
      <c r="E420" s="629" t="str">
        <f>IF(Hypothèses!B21&lt;&gt;0,Hypothèses!B21,"")</f>
        <v/>
      </c>
      <c r="F420" s="630"/>
      <c r="G420" s="630"/>
      <c r="H420" s="630"/>
      <c r="I420" s="631"/>
      <c r="O420" s="4"/>
    </row>
    <row r="421" spans="1:17" hidden="1" outlineLevel="1" x14ac:dyDescent="0.25">
      <c r="A421" s="4" t="s">
        <v>54</v>
      </c>
      <c r="B421" s="632" t="s">
        <v>114</v>
      </c>
      <c r="C421" s="632"/>
      <c r="D421" s="632"/>
      <c r="E421" s="633"/>
      <c r="F421" s="634"/>
      <c r="G421" s="634"/>
      <c r="H421" s="634"/>
      <c r="I421" s="635"/>
      <c r="O421" s="4"/>
    </row>
    <row r="422" spans="1:17" hidden="1" outlineLevel="1" x14ac:dyDescent="0.25">
      <c r="O422" s="4"/>
    </row>
    <row r="423" spans="1:17" hidden="1" outlineLevel="1" x14ac:dyDescent="0.25">
      <c r="B423" s="6" t="s">
        <v>13</v>
      </c>
      <c r="C423" s="6"/>
      <c r="D423" s="6"/>
      <c r="E423" s="6"/>
      <c r="F423" s="6"/>
      <c r="G423" s="6"/>
      <c r="I423" s="6" t="s">
        <v>22</v>
      </c>
      <c r="J423" s="6"/>
      <c r="K423" s="6"/>
      <c r="L423" s="6"/>
      <c r="Q423" s="4"/>
    </row>
    <row r="424" spans="1:17" hidden="1" outlineLevel="1" x14ac:dyDescent="0.25">
      <c r="B424" s="7" t="s">
        <v>36</v>
      </c>
      <c r="C424" s="230"/>
      <c r="I424" s="9" t="s">
        <v>15</v>
      </c>
      <c r="J424" s="9" t="s">
        <v>16</v>
      </c>
      <c r="K424" s="9" t="s">
        <v>1</v>
      </c>
      <c r="L424" s="9" t="s">
        <v>4</v>
      </c>
      <c r="Q424" s="4"/>
    </row>
    <row r="425" spans="1:17" hidden="1" outlineLevel="1" x14ac:dyDescent="0.25">
      <c r="B425" s="7" t="s">
        <v>240</v>
      </c>
      <c r="C425" s="231"/>
      <c r="I425" s="11" t="s">
        <v>31</v>
      </c>
      <c r="J425" s="11" t="s">
        <v>2</v>
      </c>
      <c r="K425" s="12" t="e">
        <f>SUM(K426:K428)</f>
        <v>#N/A</v>
      </c>
      <c r="L425" s="12" t="e">
        <f>SUM(L426:L428)</f>
        <v>#N/A</v>
      </c>
    </row>
    <row r="426" spans="1:17" hidden="1" outlineLevel="1" x14ac:dyDescent="0.25">
      <c r="B426" s="7" t="s">
        <v>44</v>
      </c>
      <c r="C426" s="231"/>
      <c r="I426" s="10" t="s">
        <v>3</v>
      </c>
      <c r="J426" s="10" t="s">
        <v>2</v>
      </c>
      <c r="K426" s="59" t="e">
        <f>IF(E437&gt;0,E437,D437)</f>
        <v>#N/A</v>
      </c>
      <c r="L426" s="59" t="e">
        <f>IF(G437&gt;0,G437,F437)</f>
        <v>#N/A</v>
      </c>
      <c r="M426" s="2"/>
    </row>
    <row r="427" spans="1:17" hidden="1" outlineLevel="1" x14ac:dyDescent="0.25">
      <c r="B427" s="7" t="s">
        <v>11</v>
      </c>
      <c r="C427" s="59">
        <f>Hypothèses!C21</f>
        <v>0</v>
      </c>
      <c r="I427" s="7" t="s">
        <v>33</v>
      </c>
      <c r="J427" s="10" t="s">
        <v>2</v>
      </c>
      <c r="K427" s="59">
        <f>-D444</f>
        <v>0</v>
      </c>
      <c r="L427" s="59">
        <f>-F444</f>
        <v>0</v>
      </c>
    </row>
    <row r="428" spans="1:17" hidden="1" outlineLevel="1" x14ac:dyDescent="0.25">
      <c r="B428" s="7" t="s">
        <v>12</v>
      </c>
      <c r="C428" s="59">
        <f>IFERROR(C427/C426,0)</f>
        <v>0</v>
      </c>
      <c r="I428" s="7" t="s">
        <v>20</v>
      </c>
      <c r="J428" s="10" t="s">
        <v>2</v>
      </c>
      <c r="K428" s="59" t="e">
        <f>-D438*K426</f>
        <v>#N/A</v>
      </c>
      <c r="L428" s="59" t="e">
        <f>-F438*L426</f>
        <v>#N/A</v>
      </c>
    </row>
    <row r="429" spans="1:17" hidden="1" outlineLevel="1" x14ac:dyDescent="0.25">
      <c r="B429" s="7" t="s">
        <v>241</v>
      </c>
      <c r="C429" s="231"/>
      <c r="F429"/>
      <c r="G429"/>
      <c r="I429" s="11" t="s">
        <v>30</v>
      </c>
      <c r="J429" s="11" t="s">
        <v>2</v>
      </c>
      <c r="K429" s="12" t="e">
        <f>SUM(K430:K433)</f>
        <v>#N/A</v>
      </c>
      <c r="L429" s="12" t="e">
        <f>SUM(L430:L433)</f>
        <v>#VALUE!</v>
      </c>
    </row>
    <row r="430" spans="1:17" hidden="1" outlineLevel="1" x14ac:dyDescent="0.25">
      <c r="B430" s="7" t="s">
        <v>242</v>
      </c>
      <c r="C430" s="231"/>
      <c r="D430" s="67"/>
      <c r="E430" s="67"/>
      <c r="F430"/>
      <c r="G430"/>
      <c r="I430" s="10" t="s">
        <v>0</v>
      </c>
      <c r="J430" s="10" t="s">
        <v>2</v>
      </c>
      <c r="K430" s="59" t="e">
        <f>C425*D440</f>
        <v>#N/A</v>
      </c>
      <c r="L430" s="59">
        <f>C425*F440</f>
        <v>0</v>
      </c>
      <c r="M430" s="2"/>
    </row>
    <row r="431" spans="1:17" hidden="1" outlineLevel="1" x14ac:dyDescent="0.25">
      <c r="I431" s="7" t="s">
        <v>24</v>
      </c>
      <c r="J431" s="10" t="s">
        <v>2</v>
      </c>
      <c r="K431" s="59" t="e">
        <f>IF(E441&gt;0,E441,D441)*C425</f>
        <v>#N/A</v>
      </c>
      <c r="L431" s="59">
        <f>C425*F441</f>
        <v>0</v>
      </c>
    </row>
    <row r="432" spans="1:17" hidden="1" outlineLevel="1" x14ac:dyDescent="0.25">
      <c r="B432" s="6" t="s">
        <v>14</v>
      </c>
      <c r="C432" s="6"/>
      <c r="D432" s="6"/>
      <c r="E432" s="6"/>
      <c r="F432" s="6"/>
      <c r="G432" s="6"/>
      <c r="I432" s="7" t="s">
        <v>29</v>
      </c>
      <c r="J432" s="10" t="s">
        <v>2</v>
      </c>
      <c r="K432" s="59" t="e">
        <f>$C425*$C427*(1/100)*IF(E435&gt;0,E435,D435)*D450</f>
        <v>#N/A</v>
      </c>
      <c r="L432" s="59" t="e">
        <f>C425*C427*(1/100)*F434*G450+IFERROR(C425*C427*(1/100)*IF(G436&gt;0,G436,F436)*F450,0)</f>
        <v>#VALUE!</v>
      </c>
    </row>
    <row r="433" spans="2:14" hidden="1" outlineLevel="1" x14ac:dyDescent="0.25">
      <c r="B433" s="9" t="s">
        <v>15</v>
      </c>
      <c r="C433" s="9" t="s">
        <v>16</v>
      </c>
      <c r="D433" s="627" t="s">
        <v>1</v>
      </c>
      <c r="E433" s="627"/>
      <c r="F433" s="636" t="s">
        <v>4</v>
      </c>
      <c r="G433" s="636"/>
      <c r="I433" s="7" t="s">
        <v>23</v>
      </c>
      <c r="J433" s="10" t="s">
        <v>2</v>
      </c>
      <c r="K433" s="60">
        <f>IFERROR(C425*D442,0)+D443</f>
        <v>0</v>
      </c>
      <c r="L433" s="60">
        <f>IFERROR(C425*F442,0)+F443</f>
        <v>0</v>
      </c>
    </row>
    <row r="434" spans="2:14" hidden="1" outlineLevel="1" x14ac:dyDescent="0.25">
      <c r="B434" s="7" t="s">
        <v>18</v>
      </c>
      <c r="C434" s="7" t="s">
        <v>5</v>
      </c>
      <c r="D434" s="615" t="s">
        <v>6</v>
      </c>
      <c r="E434" s="616"/>
      <c r="F434" s="617" t="str">
        <f>IF(Hypothèses!G21&gt;0,Hypothèses!G21,Hypothèses!E21)</f>
        <v/>
      </c>
      <c r="G434" s="617"/>
      <c r="I434" s="13" t="s">
        <v>8</v>
      </c>
      <c r="J434" s="14"/>
      <c r="K434" s="15" t="e">
        <f>K425+K429</f>
        <v>#N/A</v>
      </c>
      <c r="L434" s="15" t="e">
        <f>L425+L429</f>
        <v>#N/A</v>
      </c>
    </row>
    <row r="435" spans="2:14" hidden="1" outlineLevel="1" x14ac:dyDescent="0.25">
      <c r="B435" s="7" t="s">
        <v>17</v>
      </c>
      <c r="C435" s="7" t="s">
        <v>32</v>
      </c>
      <c r="D435" s="142" t="e">
        <f>VLOOKUP($E420,Sources!$B$53:$D$62,3,FALSE)</f>
        <v>#N/A</v>
      </c>
      <c r="E435" s="234"/>
      <c r="F435" s="617" t="s">
        <v>6</v>
      </c>
      <c r="G435" s="617"/>
      <c r="I435" s="7" t="s">
        <v>27</v>
      </c>
      <c r="J435" s="10" t="s">
        <v>2</v>
      </c>
      <c r="K435" s="621" t="e">
        <f>L434-K434</f>
        <v>#N/A</v>
      </c>
      <c r="L435" s="621"/>
    </row>
    <row r="436" spans="2:14" hidden="1" outlineLevel="1" x14ac:dyDescent="0.25">
      <c r="B436" s="7" t="s">
        <v>123</v>
      </c>
      <c r="C436" s="7" t="s">
        <v>7</v>
      </c>
      <c r="D436" s="615" t="s">
        <v>6</v>
      </c>
      <c r="E436" s="616"/>
      <c r="F436" s="144" t="e">
        <f>VLOOKUP(E420,Sources!$B$53:$D$62,2,FALSE)</f>
        <v>#N/A</v>
      </c>
      <c r="G436" s="235"/>
      <c r="I436" s="7" t="s">
        <v>27</v>
      </c>
      <c r="J436" s="10" t="s">
        <v>9</v>
      </c>
      <c r="K436" s="622">
        <f>IFERROR(K435/K434,0)</f>
        <v>0</v>
      </c>
      <c r="L436" s="622"/>
    </row>
    <row r="437" spans="2:14" hidden="1" outlineLevel="1" x14ac:dyDescent="0.25">
      <c r="B437" s="8" t="s">
        <v>19</v>
      </c>
      <c r="C437" s="10" t="s">
        <v>2</v>
      </c>
      <c r="D437" s="232" t="e">
        <f>VLOOKUP($E420,Sources!$B$14:$D$23,2,FALSE)</f>
        <v>#N/A</v>
      </c>
      <c r="E437" s="236"/>
      <c r="F437" s="232" t="e">
        <f>VLOOKUP($E420,Sources!$B$14:$D$23,3,FALSE)</f>
        <v>#N/A</v>
      </c>
      <c r="G437" s="236"/>
      <c r="I437" s="7" t="s">
        <v>27</v>
      </c>
      <c r="J437" s="16" t="s">
        <v>28</v>
      </c>
      <c r="K437" s="623">
        <f>IFERROR((L434-K434)/(C425*C427),0)</f>
        <v>0</v>
      </c>
      <c r="L437" s="623"/>
    </row>
    <row r="438" spans="2:14" hidden="1" outlineLevel="1" x14ac:dyDescent="0.25">
      <c r="B438" s="16" t="s">
        <v>20</v>
      </c>
      <c r="C438" s="81" t="s">
        <v>9</v>
      </c>
      <c r="D438" s="624" t="e">
        <f>IF(OR($C425&gt;VLOOKUP($E420,Sources!$B$82:$G$91,6,FALSE),$C425*$C427&gt;VLOOKUP($E420,Sources!$B$96:$G$105,6,FALSE)),0,MIN(VLOOKUP($E420,Sources!$B$82:$F$91,2,FALSE)*$C425^3+VLOOKUP($E420,Sources!$B$82:$F$91,3,FALSE)*$C425^2+VLOOKUP($E420,Sources!$B$82:$F$91,4,FALSE)*$C425+VLOOKUP($E420,Sources!$B$82:$F$91,5,FALSE),VLOOKUP($E420,Sources!$B$96:$F$105,2,FALSE)*($C425*$C427)^3+VLOOKUP($E420,Sources!$B$96:$F$105,3,FALSE)*($C425*$C427)^2+VLOOKUP($E420,Sources!$B$96:$F$105,4,FALSE)*$C425*$C427+VLOOKUP($E420,Sources!$B$96:$F$105,5,FALSE)))</f>
        <v>#N/A</v>
      </c>
      <c r="E438" s="625"/>
      <c r="F438" s="626" t="e">
        <f>IF(OR($C425&gt;VLOOKUP($E420,Sources!$B$82:$G$91,6,FALSE),$C425*$C427&gt;VLOOKUP($E420,Sources!$B$96:$G$105,6,FALSE)),0,(1-Sources!$D$77)*MIN(VLOOKUP($E420,Sources!$B$82:$F$91,2,FALSE)*$C425^3+VLOOKUP($E420,Sources!$B$82:$F$91,3,FALSE)*$C425^2+VLOOKUP($E420,Sources!$B$82:$F$91,4,FALSE)*$C425+VLOOKUP($E420,Sources!$B$82:$F$91,5,FALSE),VLOOKUP($E420,Sources!$B$96:$F$105,2,FALSE)*($C425*$C427)^3+VLOOKUP($E420,Sources!$B$96:$F$105,3,FALSE)*($C425*$C427)^2+VLOOKUP($E420,Sources!$B$96:$F$105,4,FALSE)*$C425*$C427+VLOOKUP($E420,Sources!$B$96:$F$105,5,FALSE)))</f>
        <v>#N/A</v>
      </c>
      <c r="G438" s="626"/>
      <c r="I438"/>
      <c r="K438" s="3"/>
      <c r="M438" s="3"/>
      <c r="N438" s="3"/>
    </row>
    <row r="439" spans="2:14" hidden="1" outlineLevel="1" x14ac:dyDescent="0.25">
      <c r="B439" s="7" t="s">
        <v>0</v>
      </c>
      <c r="C439" s="7" t="s">
        <v>43</v>
      </c>
      <c r="D439" s="143" t="e">
        <f>VLOOKUP($E420,Sources!$B$27:$D$36,2,FALSE)</f>
        <v>#N/A</v>
      </c>
      <c r="E439" s="237"/>
      <c r="F439" s="614"/>
      <c r="G439" s="614"/>
      <c r="I439"/>
      <c r="K439" s="3"/>
      <c r="L439" s="3"/>
      <c r="N439" s="3"/>
    </row>
    <row r="440" spans="2:14" hidden="1" outlineLevel="1" x14ac:dyDescent="0.25">
      <c r="B440" s="10" t="s">
        <v>0</v>
      </c>
      <c r="C440" s="7" t="s">
        <v>34</v>
      </c>
      <c r="D440" s="615" t="e">
        <f>IF(E439&gt;0,E439,D439)*C427</f>
        <v>#N/A</v>
      </c>
      <c r="E440" s="616"/>
      <c r="F440" s="617">
        <f>F439*C427</f>
        <v>0</v>
      </c>
      <c r="G440" s="617"/>
      <c r="I440"/>
      <c r="K440" s="3"/>
      <c r="L440" s="3"/>
      <c r="N440" s="3"/>
    </row>
    <row r="441" spans="2:14" hidden="1" outlineLevel="1" x14ac:dyDescent="0.25">
      <c r="B441" s="7" t="s">
        <v>24</v>
      </c>
      <c r="C441" s="7" t="s">
        <v>34</v>
      </c>
      <c r="D441" s="232" t="e">
        <f>VLOOKUP($E420,Sources!$B$40:$D$49,2,FALSE)</f>
        <v>#N/A</v>
      </c>
      <c r="E441" s="236"/>
      <c r="F441" s="614"/>
      <c r="G441" s="614"/>
      <c r="I441"/>
      <c r="K441" s="3"/>
      <c r="L441" s="3"/>
      <c r="N441" s="3"/>
    </row>
    <row r="442" spans="2:14" hidden="1" outlineLevel="1" x14ac:dyDescent="0.25">
      <c r="B442" s="7" t="s">
        <v>26</v>
      </c>
      <c r="C442" s="7" t="s">
        <v>34</v>
      </c>
      <c r="D442" s="615">
        <v>0</v>
      </c>
      <c r="E442" s="616"/>
      <c r="F442" s="614"/>
      <c r="G442" s="614"/>
      <c r="I442"/>
      <c r="J442"/>
      <c r="K442" s="3"/>
      <c r="L442" s="3"/>
      <c r="N442" s="3"/>
    </row>
    <row r="443" spans="2:14" hidden="1" outlineLevel="1" x14ac:dyDescent="0.25">
      <c r="B443" s="7" t="s">
        <v>209</v>
      </c>
      <c r="C443" s="7" t="s">
        <v>2</v>
      </c>
      <c r="D443" s="618"/>
      <c r="E443" s="619"/>
      <c r="F443" s="614"/>
      <c r="G443" s="614"/>
      <c r="I443"/>
      <c r="J443"/>
      <c r="K443" s="3"/>
      <c r="L443" s="3"/>
      <c r="N443" s="3"/>
    </row>
    <row r="444" spans="2:14" hidden="1" outlineLevel="1" x14ac:dyDescent="0.25">
      <c r="B444" s="7" t="s">
        <v>25</v>
      </c>
      <c r="C444" s="10" t="s">
        <v>2</v>
      </c>
      <c r="D444" s="615">
        <v>0</v>
      </c>
      <c r="E444" s="616"/>
      <c r="F444" s="620">
        <f>C430+C429</f>
        <v>0</v>
      </c>
      <c r="G444" s="620"/>
      <c r="I444"/>
      <c r="J444" s="3"/>
      <c r="K444" s="3"/>
      <c r="L444" s="3"/>
      <c r="N444" s="3"/>
    </row>
    <row r="445" spans="2:14" hidden="1" outlineLevel="1" x14ac:dyDescent="0.25">
      <c r="G445"/>
      <c r="H445" s="3"/>
      <c r="I445" s="3"/>
      <c r="J445" s="3"/>
      <c r="L445" s="3"/>
    </row>
    <row r="446" spans="2:14" hidden="1" outlineLevel="1" x14ac:dyDescent="0.25">
      <c r="H446" s="3"/>
      <c r="I446" s="3"/>
      <c r="J446" s="3"/>
      <c r="L446" s="3"/>
    </row>
    <row r="447" spans="2:14" hidden="1" outlineLevel="1" x14ac:dyDescent="0.25">
      <c r="B447" s="6" t="s">
        <v>10</v>
      </c>
      <c r="C447" s="6"/>
      <c r="D447" s="6"/>
      <c r="E447" s="5"/>
      <c r="F447" s="5"/>
      <c r="G447" s="5"/>
      <c r="I447" s="3"/>
      <c r="J447" s="3"/>
      <c r="L447" s="3"/>
    </row>
    <row r="448" spans="2:14" hidden="1" outlineLevel="1" x14ac:dyDescent="0.25">
      <c r="B448" s="9" t="s">
        <v>15</v>
      </c>
      <c r="C448" s="9" t="s">
        <v>16</v>
      </c>
      <c r="D448" s="627" t="s">
        <v>1</v>
      </c>
      <c r="E448" s="627"/>
      <c r="F448" s="203" t="s">
        <v>21</v>
      </c>
      <c r="G448" s="203" t="s">
        <v>4</v>
      </c>
      <c r="J448" s="3"/>
      <c r="K448" s="3"/>
      <c r="M448" s="3"/>
    </row>
    <row r="449" spans="1:17" hidden="1" outlineLevel="1" x14ac:dyDescent="0.25">
      <c r="B449" s="7" t="s">
        <v>236</v>
      </c>
      <c r="C449" s="7" t="s">
        <v>119</v>
      </c>
      <c r="D449" s="612">
        <f>IF(OR(E420=Sources!$B$14,E420=Sources!$B$15,E420=Sources!$B$23,E420=Sources!$B$24),Sources!$D$4,IF(OR(E420=Sources!$B$16,E420=Sources!$B$17,E420=Sources!$B$18),Sources!$D$6,Sources!$D$7))</f>
        <v>1.367</v>
      </c>
      <c r="E449" s="613"/>
      <c r="F449" s="140">
        <f>Sources!$C$8</f>
        <v>0.24</v>
      </c>
      <c r="J449" s="3"/>
      <c r="K449" s="3"/>
      <c r="M449" s="3"/>
    </row>
    <row r="450" spans="1:17" hidden="1" outlineLevel="1" x14ac:dyDescent="0.25">
      <c r="B450" s="7" t="s">
        <v>35</v>
      </c>
      <c r="C450" s="7" t="s">
        <v>119</v>
      </c>
      <c r="D450" s="612" t="e">
        <f>D449*(1+Sources!C$9)^(C424-2020)*(1-(1+Sources!C$9)^C425)/(-Sources!C$9*C425)</f>
        <v>#DIV/0!</v>
      </c>
      <c r="E450" s="613"/>
      <c r="F450" s="140" t="e">
        <f>Sources!C$8*(1+Sources!C$10)^(C424-2019)*(1-(1+Sources!C$10)^C425)/(-Sources!C$10*C425)</f>
        <v>#DIV/0!</v>
      </c>
      <c r="G450" s="140">
        <f>IFERROR(Hypothèses!H21*(1+L$8)^(C424-L$7)*(1-(1+L$8)^C425)/(-L$8*C425),Hypothèses!H21)</f>
        <v>0</v>
      </c>
      <c r="J450" s="3"/>
      <c r="K450" s="3"/>
      <c r="M450" s="3"/>
    </row>
    <row r="451" spans="1:17" collapsed="1" x14ac:dyDescent="0.25">
      <c r="B451" s="17"/>
      <c r="I451" s="3"/>
      <c r="J451" s="3"/>
      <c r="L451" s="3"/>
    </row>
    <row r="452" spans="1:17" s="628" customFormat="1" ht="15" customHeight="1" x14ac:dyDescent="0.3">
      <c r="A452" s="628" t="s">
        <v>216</v>
      </c>
    </row>
    <row r="453" spans="1:17" x14ac:dyDescent="0.25">
      <c r="A453" s="229">
        <f>IF(AND(F473&gt;0,C458&gt;0,IFERROR(K469,0)&gt;0),1,0)</f>
        <v>0</v>
      </c>
      <c r="B453" s="4"/>
    </row>
    <row r="454" spans="1:17" ht="18.75" x14ac:dyDescent="0.3">
      <c r="B454" s="4"/>
      <c r="E454" s="629" t="str">
        <f>IF(Hypothèses!B22&lt;&gt;0,Hypothèses!B22,"")</f>
        <v/>
      </c>
      <c r="F454" s="630"/>
      <c r="G454" s="630"/>
      <c r="H454" s="630"/>
      <c r="I454" s="631"/>
      <c r="O454" s="4"/>
    </row>
    <row r="455" spans="1:17" hidden="1" outlineLevel="1" x14ac:dyDescent="0.25">
      <c r="A455" s="4" t="s">
        <v>54</v>
      </c>
      <c r="B455" s="632" t="s">
        <v>114</v>
      </c>
      <c r="C455" s="632"/>
      <c r="D455" s="632"/>
      <c r="E455" s="633"/>
      <c r="F455" s="634"/>
      <c r="G455" s="634"/>
      <c r="H455" s="634"/>
      <c r="I455" s="635"/>
      <c r="O455" s="4"/>
    </row>
    <row r="456" spans="1:17" hidden="1" outlineLevel="1" x14ac:dyDescent="0.25">
      <c r="O456" s="4"/>
    </row>
    <row r="457" spans="1:17" hidden="1" outlineLevel="1" x14ac:dyDescent="0.25">
      <c r="B457" s="6" t="s">
        <v>13</v>
      </c>
      <c r="C457" s="6"/>
      <c r="D457" s="6"/>
      <c r="E457" s="6"/>
      <c r="F457" s="6"/>
      <c r="G457" s="6"/>
      <c r="I457" s="6" t="s">
        <v>22</v>
      </c>
      <c r="J457" s="6"/>
      <c r="K457" s="6"/>
      <c r="L457" s="6"/>
      <c r="Q457" s="4"/>
    </row>
    <row r="458" spans="1:17" hidden="1" outlineLevel="1" x14ac:dyDescent="0.25">
      <c r="B458" s="7" t="s">
        <v>36</v>
      </c>
      <c r="C458" s="230"/>
      <c r="I458" s="9" t="s">
        <v>15</v>
      </c>
      <c r="J458" s="9" t="s">
        <v>16</v>
      </c>
      <c r="K458" s="9" t="s">
        <v>1</v>
      </c>
      <c r="L458" s="9" t="s">
        <v>4</v>
      </c>
      <c r="Q458" s="4"/>
    </row>
    <row r="459" spans="1:17" hidden="1" outlineLevel="1" x14ac:dyDescent="0.25">
      <c r="B459" s="7" t="s">
        <v>240</v>
      </c>
      <c r="C459" s="231"/>
      <c r="I459" s="11" t="s">
        <v>31</v>
      </c>
      <c r="J459" s="11" t="s">
        <v>2</v>
      </c>
      <c r="K459" s="12" t="e">
        <f>SUM(K460:K462)</f>
        <v>#N/A</v>
      </c>
      <c r="L459" s="12" t="e">
        <f>SUM(L460:L462)</f>
        <v>#N/A</v>
      </c>
    </row>
    <row r="460" spans="1:17" hidden="1" outlineLevel="1" x14ac:dyDescent="0.25">
      <c r="B460" s="7" t="s">
        <v>44</v>
      </c>
      <c r="C460" s="231"/>
      <c r="I460" s="10" t="s">
        <v>3</v>
      </c>
      <c r="J460" s="10" t="s">
        <v>2</v>
      </c>
      <c r="K460" s="59" t="e">
        <f>IF(E471&gt;0,E471,D471)</f>
        <v>#N/A</v>
      </c>
      <c r="L460" s="59" t="e">
        <f>IF(G471&gt;0,G471,F471)</f>
        <v>#N/A</v>
      </c>
      <c r="M460" s="2"/>
    </row>
    <row r="461" spans="1:17" hidden="1" outlineLevel="1" x14ac:dyDescent="0.25">
      <c r="B461" s="7" t="s">
        <v>11</v>
      </c>
      <c r="C461" s="59">
        <f>Hypothèses!C22</f>
        <v>0</v>
      </c>
      <c r="I461" s="7" t="s">
        <v>33</v>
      </c>
      <c r="J461" s="10" t="s">
        <v>2</v>
      </c>
      <c r="K461" s="59">
        <f>-D478</f>
        <v>0</v>
      </c>
      <c r="L461" s="59">
        <f>-F478</f>
        <v>0</v>
      </c>
    </row>
    <row r="462" spans="1:17" hidden="1" outlineLevel="1" x14ac:dyDescent="0.25">
      <c r="B462" s="7" t="s">
        <v>12</v>
      </c>
      <c r="C462" s="59">
        <f>IFERROR(C461/C460,0)</f>
        <v>0</v>
      </c>
      <c r="I462" s="7" t="s">
        <v>20</v>
      </c>
      <c r="J462" s="10" t="s">
        <v>2</v>
      </c>
      <c r="K462" s="59" t="e">
        <f>-D472*K460</f>
        <v>#N/A</v>
      </c>
      <c r="L462" s="59" t="e">
        <f>-F472*L460</f>
        <v>#N/A</v>
      </c>
    </row>
    <row r="463" spans="1:17" hidden="1" outlineLevel="1" x14ac:dyDescent="0.25">
      <c r="B463" s="7" t="s">
        <v>241</v>
      </c>
      <c r="C463" s="231"/>
      <c r="F463"/>
      <c r="G463"/>
      <c r="I463" s="11" t="s">
        <v>30</v>
      </c>
      <c r="J463" s="11" t="s">
        <v>2</v>
      </c>
      <c r="K463" s="12" t="e">
        <f>SUM(K464:K467)</f>
        <v>#N/A</v>
      </c>
      <c r="L463" s="12" t="e">
        <f>SUM(L464:L467)</f>
        <v>#VALUE!</v>
      </c>
    </row>
    <row r="464" spans="1:17" hidden="1" outlineLevel="1" x14ac:dyDescent="0.25">
      <c r="B464" s="7" t="s">
        <v>242</v>
      </c>
      <c r="C464" s="231"/>
      <c r="D464" s="67"/>
      <c r="E464" s="67"/>
      <c r="F464"/>
      <c r="G464"/>
      <c r="I464" s="10" t="s">
        <v>0</v>
      </c>
      <c r="J464" s="10" t="s">
        <v>2</v>
      </c>
      <c r="K464" s="59" t="e">
        <f>C459*D474</f>
        <v>#N/A</v>
      </c>
      <c r="L464" s="59">
        <f>C459*F474</f>
        <v>0</v>
      </c>
      <c r="M464" s="2"/>
    </row>
    <row r="465" spans="2:14" hidden="1" outlineLevel="1" x14ac:dyDescent="0.25">
      <c r="I465" s="7" t="s">
        <v>24</v>
      </c>
      <c r="J465" s="10" t="s">
        <v>2</v>
      </c>
      <c r="K465" s="59" t="e">
        <f>IF(E475&gt;0,E475,D475)*C459</f>
        <v>#N/A</v>
      </c>
      <c r="L465" s="59">
        <f>C459*F475</f>
        <v>0</v>
      </c>
    </row>
    <row r="466" spans="2:14" hidden="1" outlineLevel="1" x14ac:dyDescent="0.25">
      <c r="B466" s="6" t="s">
        <v>14</v>
      </c>
      <c r="C466" s="6"/>
      <c r="D466" s="6"/>
      <c r="E466" s="6"/>
      <c r="F466" s="6"/>
      <c r="G466" s="6"/>
      <c r="I466" s="7" t="s">
        <v>29</v>
      </c>
      <c r="J466" s="10" t="s">
        <v>2</v>
      </c>
      <c r="K466" s="59" t="e">
        <f>$C459*$C461*(1/100)*IF(E469&gt;0,E469,D469)*D484</f>
        <v>#N/A</v>
      </c>
      <c r="L466" s="59" t="e">
        <f>C459*C461*(1/100)*F468*G484+IFERROR(C459*C461*(1/100)*IF(G470&gt;0,G470,F470)*F484,0)</f>
        <v>#VALUE!</v>
      </c>
    </row>
    <row r="467" spans="2:14" hidden="1" outlineLevel="1" x14ac:dyDescent="0.25">
      <c r="B467" s="9" t="s">
        <v>15</v>
      </c>
      <c r="C467" s="9" t="s">
        <v>16</v>
      </c>
      <c r="D467" s="627" t="s">
        <v>1</v>
      </c>
      <c r="E467" s="627"/>
      <c r="F467" s="636" t="s">
        <v>4</v>
      </c>
      <c r="G467" s="636"/>
      <c r="I467" s="7" t="s">
        <v>23</v>
      </c>
      <c r="J467" s="10" t="s">
        <v>2</v>
      </c>
      <c r="K467" s="60">
        <f>IFERROR(C459*D476,0)+D477</f>
        <v>0</v>
      </c>
      <c r="L467" s="60">
        <f>IFERROR(C459*F476,0)+F477</f>
        <v>0</v>
      </c>
    </row>
    <row r="468" spans="2:14" hidden="1" outlineLevel="1" x14ac:dyDescent="0.25">
      <c r="B468" s="7" t="s">
        <v>18</v>
      </c>
      <c r="C468" s="7" t="s">
        <v>5</v>
      </c>
      <c r="D468" s="615" t="s">
        <v>6</v>
      </c>
      <c r="E468" s="616"/>
      <c r="F468" s="617" t="str">
        <f>IF(Hypothèses!G22&gt;0,Hypothèses!G22,Hypothèses!E22)</f>
        <v/>
      </c>
      <c r="G468" s="617"/>
      <c r="I468" s="13" t="s">
        <v>8</v>
      </c>
      <c r="J468" s="14"/>
      <c r="K468" s="15" t="e">
        <f>K459+K463</f>
        <v>#N/A</v>
      </c>
      <c r="L468" s="15" t="e">
        <f>L459+L463</f>
        <v>#N/A</v>
      </c>
    </row>
    <row r="469" spans="2:14" hidden="1" outlineLevel="1" x14ac:dyDescent="0.25">
      <c r="B469" s="7" t="s">
        <v>17</v>
      </c>
      <c r="C469" s="7" t="s">
        <v>32</v>
      </c>
      <c r="D469" s="142" t="e">
        <f>VLOOKUP($E454,Sources!$B$53:$D$62,3,FALSE)</f>
        <v>#N/A</v>
      </c>
      <c r="E469" s="234"/>
      <c r="F469" s="617" t="s">
        <v>6</v>
      </c>
      <c r="G469" s="617"/>
      <c r="I469" s="7" t="s">
        <v>27</v>
      </c>
      <c r="J469" s="10" t="s">
        <v>2</v>
      </c>
      <c r="K469" s="621" t="e">
        <f>L468-K468</f>
        <v>#N/A</v>
      </c>
      <c r="L469" s="621"/>
    </row>
    <row r="470" spans="2:14" hidden="1" outlineLevel="1" x14ac:dyDescent="0.25">
      <c r="B470" s="7" t="s">
        <v>123</v>
      </c>
      <c r="C470" s="7" t="s">
        <v>7</v>
      </c>
      <c r="D470" s="615" t="s">
        <v>6</v>
      </c>
      <c r="E470" s="616"/>
      <c r="F470" s="144" t="e">
        <f>VLOOKUP(E454,Sources!$B$53:$D$62,2,FALSE)</f>
        <v>#N/A</v>
      </c>
      <c r="G470" s="235"/>
      <c r="I470" s="7" t="s">
        <v>27</v>
      </c>
      <c r="J470" s="10" t="s">
        <v>9</v>
      </c>
      <c r="K470" s="622">
        <f>IFERROR(K469/K468,0)</f>
        <v>0</v>
      </c>
      <c r="L470" s="622"/>
    </row>
    <row r="471" spans="2:14" hidden="1" outlineLevel="1" x14ac:dyDescent="0.25">
      <c r="B471" s="8" t="s">
        <v>19</v>
      </c>
      <c r="C471" s="10" t="s">
        <v>2</v>
      </c>
      <c r="D471" s="232" t="e">
        <f>VLOOKUP($E454,Sources!$B$14:$D$23,2,FALSE)</f>
        <v>#N/A</v>
      </c>
      <c r="E471" s="236"/>
      <c r="F471" s="232" t="e">
        <f>VLOOKUP($E454,Sources!$B$14:$D$23,3,FALSE)</f>
        <v>#N/A</v>
      </c>
      <c r="G471" s="236"/>
      <c r="I471" s="7" t="s">
        <v>27</v>
      </c>
      <c r="J471" s="16" t="s">
        <v>28</v>
      </c>
      <c r="K471" s="623">
        <f>IFERROR((L468-K468)/(C459*C461),0)</f>
        <v>0</v>
      </c>
      <c r="L471" s="623"/>
    </row>
    <row r="472" spans="2:14" hidden="1" outlineLevel="1" x14ac:dyDescent="0.25">
      <c r="B472" s="16" t="s">
        <v>20</v>
      </c>
      <c r="C472" s="81" t="s">
        <v>9</v>
      </c>
      <c r="D472" s="624" t="e">
        <f>IF(OR($C459&gt;VLOOKUP($E454,Sources!$B$82:$G$91,6,FALSE),$C459*$C461&gt;VLOOKUP($E454,Sources!$B$96:$G$105,6,FALSE)),0,MIN(VLOOKUP($E454,Sources!$B$82:$F$91,2,FALSE)*$C459^3+VLOOKUP($E454,Sources!$B$82:$F$91,3,FALSE)*$C459^2+VLOOKUP($E454,Sources!$B$82:$F$91,4,FALSE)*$C459+VLOOKUP($E454,Sources!$B$82:$F$91,5,FALSE),VLOOKUP($E454,Sources!$B$96:$F$105,2,FALSE)*($C459*$C461)^3+VLOOKUP($E454,Sources!$B$96:$F$105,3,FALSE)*($C459*$C461)^2+VLOOKUP($E454,Sources!$B$96:$F$105,4,FALSE)*$C459*$C461+VLOOKUP($E454,Sources!$B$96:$F$105,5,FALSE)))</f>
        <v>#N/A</v>
      </c>
      <c r="E472" s="625"/>
      <c r="F472" s="626" t="e">
        <f>IF(OR($C459&gt;VLOOKUP($E454,Sources!$B$82:$G$91,6,FALSE),$C459*$C461&gt;VLOOKUP($E454,Sources!$B$96:$G$105,6,FALSE)),0,(1-Sources!$D$77)*MIN(VLOOKUP($E454,Sources!$B$82:$F$91,2,FALSE)*$C459^3+VLOOKUP($E454,Sources!$B$82:$F$91,3,FALSE)*$C459^2+VLOOKUP($E454,Sources!$B$82:$F$91,4,FALSE)*$C459+VLOOKUP($E454,Sources!$B$82:$F$91,5,FALSE),VLOOKUP($E454,Sources!$B$96:$F$105,2,FALSE)*($C459*$C461)^3+VLOOKUP($E454,Sources!$B$96:$F$105,3,FALSE)*($C459*$C461)^2+VLOOKUP($E454,Sources!$B$96:$F$105,4,FALSE)*$C459*$C461+VLOOKUP($E454,Sources!$B$96:$F$105,5,FALSE)))</f>
        <v>#N/A</v>
      </c>
      <c r="G472" s="626"/>
      <c r="I472"/>
      <c r="K472" s="3"/>
      <c r="M472" s="3"/>
      <c r="N472" s="3"/>
    </row>
    <row r="473" spans="2:14" hidden="1" outlineLevel="1" x14ac:dyDescent="0.25">
      <c r="B473" s="7" t="s">
        <v>0</v>
      </c>
      <c r="C473" s="7" t="s">
        <v>43</v>
      </c>
      <c r="D473" s="143" t="e">
        <f>VLOOKUP($E454,Sources!$B$27:$D$36,2,FALSE)</f>
        <v>#N/A</v>
      </c>
      <c r="E473" s="237"/>
      <c r="F473" s="614"/>
      <c r="G473" s="614"/>
      <c r="I473"/>
      <c r="K473" s="3"/>
      <c r="L473" s="3"/>
      <c r="N473" s="3"/>
    </row>
    <row r="474" spans="2:14" hidden="1" outlineLevel="1" x14ac:dyDescent="0.25">
      <c r="B474" s="10" t="s">
        <v>0</v>
      </c>
      <c r="C474" s="7" t="s">
        <v>34</v>
      </c>
      <c r="D474" s="615" t="e">
        <f>IF(E473&gt;0,E473,D473)*C461</f>
        <v>#N/A</v>
      </c>
      <c r="E474" s="616"/>
      <c r="F474" s="617">
        <f>F473*C461</f>
        <v>0</v>
      </c>
      <c r="G474" s="617"/>
      <c r="I474"/>
      <c r="K474" s="3"/>
      <c r="L474" s="3"/>
      <c r="N474" s="3"/>
    </row>
    <row r="475" spans="2:14" hidden="1" outlineLevel="1" x14ac:dyDescent="0.25">
      <c r="B475" s="7" t="s">
        <v>24</v>
      </c>
      <c r="C475" s="7" t="s">
        <v>34</v>
      </c>
      <c r="D475" s="232" t="e">
        <f>VLOOKUP($E454,Sources!$B$40:$D$49,2,FALSE)</f>
        <v>#N/A</v>
      </c>
      <c r="E475" s="236"/>
      <c r="F475" s="614"/>
      <c r="G475" s="614"/>
      <c r="I475"/>
      <c r="K475" s="3"/>
      <c r="L475" s="3"/>
      <c r="N475" s="3"/>
    </row>
    <row r="476" spans="2:14" hidden="1" outlineLevel="1" x14ac:dyDescent="0.25">
      <c r="B476" s="7" t="s">
        <v>26</v>
      </c>
      <c r="C476" s="7" t="s">
        <v>34</v>
      </c>
      <c r="D476" s="615">
        <v>0</v>
      </c>
      <c r="E476" s="616"/>
      <c r="F476" s="614"/>
      <c r="G476" s="614"/>
      <c r="I476"/>
      <c r="J476"/>
      <c r="K476" s="3"/>
      <c r="L476" s="3"/>
      <c r="N476" s="3"/>
    </row>
    <row r="477" spans="2:14" hidden="1" outlineLevel="1" x14ac:dyDescent="0.25">
      <c r="B477" s="7" t="s">
        <v>209</v>
      </c>
      <c r="C477" s="7" t="s">
        <v>2</v>
      </c>
      <c r="D477" s="618"/>
      <c r="E477" s="619"/>
      <c r="F477" s="614"/>
      <c r="G477" s="614"/>
      <c r="I477"/>
      <c r="J477"/>
      <c r="K477" s="3"/>
      <c r="L477" s="3"/>
      <c r="N477" s="3"/>
    </row>
    <row r="478" spans="2:14" hidden="1" outlineLevel="1" x14ac:dyDescent="0.25">
      <c r="B478" s="7" t="s">
        <v>25</v>
      </c>
      <c r="C478" s="10" t="s">
        <v>2</v>
      </c>
      <c r="D478" s="615">
        <v>0</v>
      </c>
      <c r="E478" s="616"/>
      <c r="F478" s="620">
        <f>C464+C463</f>
        <v>0</v>
      </c>
      <c r="G478" s="620"/>
      <c r="I478"/>
      <c r="J478" s="3"/>
      <c r="K478" s="3"/>
      <c r="L478" s="3"/>
      <c r="N478" s="3"/>
    </row>
    <row r="479" spans="2:14" hidden="1" outlineLevel="1" x14ac:dyDescent="0.25">
      <c r="G479"/>
      <c r="H479" s="3"/>
      <c r="I479" s="3"/>
      <c r="J479" s="3"/>
      <c r="L479" s="3"/>
    </row>
    <row r="480" spans="2:14" hidden="1" outlineLevel="1" x14ac:dyDescent="0.25">
      <c r="H480" s="3"/>
      <c r="I480" s="3"/>
      <c r="J480" s="3"/>
      <c r="L480" s="3"/>
    </row>
    <row r="481" spans="1:17" hidden="1" outlineLevel="1" x14ac:dyDescent="0.25">
      <c r="B481" s="6" t="s">
        <v>10</v>
      </c>
      <c r="C481" s="6"/>
      <c r="D481" s="6"/>
      <c r="E481" s="5"/>
      <c r="F481" s="5"/>
      <c r="G481" s="5"/>
      <c r="I481" s="3"/>
      <c r="J481" s="3"/>
      <c r="L481" s="3"/>
    </row>
    <row r="482" spans="1:17" hidden="1" outlineLevel="1" x14ac:dyDescent="0.25">
      <c r="B482" s="9" t="s">
        <v>15</v>
      </c>
      <c r="C482" s="9" t="s">
        <v>16</v>
      </c>
      <c r="D482" s="627" t="s">
        <v>1</v>
      </c>
      <c r="E482" s="627"/>
      <c r="F482" s="203" t="s">
        <v>21</v>
      </c>
      <c r="G482" s="203" t="s">
        <v>4</v>
      </c>
      <c r="J482" s="3"/>
      <c r="K482" s="3"/>
      <c r="M482" s="3"/>
    </row>
    <row r="483" spans="1:17" hidden="1" outlineLevel="1" x14ac:dyDescent="0.25">
      <c r="B483" s="7" t="s">
        <v>236</v>
      </c>
      <c r="C483" s="7" t="s">
        <v>119</v>
      </c>
      <c r="D483" s="612">
        <f>IF(OR(E454=Sources!$B$14,E454=Sources!$B$15,E454=Sources!$B$23,E454=Sources!$B$24),Sources!$D$4,IF(OR(E454=Sources!$B$16,E454=Sources!$B$17,E454=Sources!$B$18),Sources!$D$6,Sources!$D$7))</f>
        <v>1.367</v>
      </c>
      <c r="E483" s="613"/>
      <c r="F483" s="140">
        <f>Sources!$C$8</f>
        <v>0.24</v>
      </c>
      <c r="J483" s="3"/>
      <c r="K483" s="3"/>
      <c r="M483" s="3"/>
    </row>
    <row r="484" spans="1:17" hidden="1" outlineLevel="1" x14ac:dyDescent="0.25">
      <c r="B484" s="7" t="s">
        <v>35</v>
      </c>
      <c r="C484" s="7" t="s">
        <v>119</v>
      </c>
      <c r="D484" s="612" t="e">
        <f>D483*(1+Sources!C$9)^(C458-2020)*(1-(1+Sources!C$9)^C459)/(-Sources!C$9*C459)</f>
        <v>#DIV/0!</v>
      </c>
      <c r="E484" s="613"/>
      <c r="F484" s="140" t="e">
        <f>Sources!C$8*(1+Sources!C$10)^(C458-2019)*(1-(1+Sources!C$10)^C459)/(-Sources!C$10*C459)</f>
        <v>#DIV/0!</v>
      </c>
      <c r="G484" s="140">
        <f>IFERROR(Hypothèses!H22*(1+L$8)^(C458-L$7)*(1-(1+L$8)^C459)/(-L$8*C459),Hypothèses!H22)</f>
        <v>0</v>
      </c>
      <c r="J484" s="3"/>
      <c r="K484" s="3"/>
      <c r="M484" s="3"/>
    </row>
    <row r="485" spans="1:17" collapsed="1" x14ac:dyDescent="0.25">
      <c r="B485" s="17"/>
      <c r="I485" s="3"/>
      <c r="J485" s="3"/>
      <c r="L485" s="3"/>
    </row>
    <row r="486" spans="1:17" s="628" customFormat="1" ht="15" customHeight="1" x14ac:dyDescent="0.3">
      <c r="A486" s="628" t="s">
        <v>217</v>
      </c>
    </row>
    <row r="487" spans="1:17" x14ac:dyDescent="0.25">
      <c r="A487" s="229">
        <f>IF(AND(F507&gt;0,C492&gt;0,IFERROR(K503,0)&gt;0),1,0)</f>
        <v>0</v>
      </c>
      <c r="B487" s="4"/>
    </row>
    <row r="488" spans="1:17" ht="18.75" x14ac:dyDescent="0.3">
      <c r="B488" s="4"/>
      <c r="E488" s="629" t="str">
        <f>IF(Hypothèses!B23&lt;&gt;0,Hypothèses!B23,"")</f>
        <v/>
      </c>
      <c r="F488" s="630"/>
      <c r="G488" s="630"/>
      <c r="H488" s="630"/>
      <c r="I488" s="631"/>
      <c r="O488" s="4"/>
    </row>
    <row r="489" spans="1:17" hidden="1" outlineLevel="1" x14ac:dyDescent="0.25">
      <c r="A489" s="4" t="s">
        <v>54</v>
      </c>
      <c r="B489" s="632" t="s">
        <v>114</v>
      </c>
      <c r="C489" s="632"/>
      <c r="D489" s="632"/>
      <c r="E489" s="633"/>
      <c r="F489" s="634"/>
      <c r="G489" s="634"/>
      <c r="H489" s="634"/>
      <c r="I489" s="635"/>
      <c r="O489" s="4"/>
    </row>
    <row r="490" spans="1:17" hidden="1" outlineLevel="1" x14ac:dyDescent="0.25">
      <c r="O490" s="4"/>
    </row>
    <row r="491" spans="1:17" hidden="1" outlineLevel="1" x14ac:dyDescent="0.25">
      <c r="B491" s="6" t="s">
        <v>13</v>
      </c>
      <c r="C491" s="6"/>
      <c r="D491" s="6"/>
      <c r="E491" s="6"/>
      <c r="F491" s="6"/>
      <c r="G491" s="6"/>
      <c r="I491" s="6" t="s">
        <v>22</v>
      </c>
      <c r="J491" s="6"/>
      <c r="K491" s="6"/>
      <c r="L491" s="6"/>
      <c r="Q491" s="4"/>
    </row>
    <row r="492" spans="1:17" hidden="1" outlineLevel="1" x14ac:dyDescent="0.25">
      <c r="B492" s="7" t="s">
        <v>36</v>
      </c>
      <c r="C492" s="230"/>
      <c r="I492" s="9" t="s">
        <v>15</v>
      </c>
      <c r="J492" s="9" t="s">
        <v>16</v>
      </c>
      <c r="K492" s="9" t="s">
        <v>1</v>
      </c>
      <c r="L492" s="9" t="s">
        <v>4</v>
      </c>
      <c r="Q492" s="4"/>
    </row>
    <row r="493" spans="1:17" hidden="1" outlineLevel="1" x14ac:dyDescent="0.25">
      <c r="B493" s="7" t="s">
        <v>240</v>
      </c>
      <c r="C493" s="231"/>
      <c r="I493" s="11" t="s">
        <v>31</v>
      </c>
      <c r="J493" s="11" t="s">
        <v>2</v>
      </c>
      <c r="K493" s="12" t="e">
        <f>SUM(K494:K496)</f>
        <v>#N/A</v>
      </c>
      <c r="L493" s="12" t="e">
        <f>SUM(L494:L496)</f>
        <v>#N/A</v>
      </c>
    </row>
    <row r="494" spans="1:17" hidden="1" outlineLevel="1" x14ac:dyDescent="0.25">
      <c r="B494" s="7" t="s">
        <v>44</v>
      </c>
      <c r="C494" s="231"/>
      <c r="I494" s="10" t="s">
        <v>3</v>
      </c>
      <c r="J494" s="10" t="s">
        <v>2</v>
      </c>
      <c r="K494" s="59" t="e">
        <f>IF(E505&gt;0,E505,D505)</f>
        <v>#N/A</v>
      </c>
      <c r="L494" s="59" t="e">
        <f>IF(G505&gt;0,G505,F505)</f>
        <v>#N/A</v>
      </c>
      <c r="M494" s="2"/>
    </row>
    <row r="495" spans="1:17" hidden="1" outlineLevel="1" x14ac:dyDescent="0.25">
      <c r="B495" s="7" t="s">
        <v>11</v>
      </c>
      <c r="C495" s="59">
        <f>Hypothèses!C23</f>
        <v>0</v>
      </c>
      <c r="I495" s="7" t="s">
        <v>33</v>
      </c>
      <c r="J495" s="10" t="s">
        <v>2</v>
      </c>
      <c r="K495" s="59">
        <f>-D512</f>
        <v>0</v>
      </c>
      <c r="L495" s="59">
        <f>-F512</f>
        <v>0</v>
      </c>
    </row>
    <row r="496" spans="1:17" hidden="1" outlineLevel="1" x14ac:dyDescent="0.25">
      <c r="B496" s="7" t="s">
        <v>12</v>
      </c>
      <c r="C496" s="59">
        <f>IFERROR(C495/C494,0)</f>
        <v>0</v>
      </c>
      <c r="I496" s="7" t="s">
        <v>20</v>
      </c>
      <c r="J496" s="10" t="s">
        <v>2</v>
      </c>
      <c r="K496" s="59" t="e">
        <f>-D506*K494</f>
        <v>#N/A</v>
      </c>
      <c r="L496" s="59" t="e">
        <f>-F506*L494</f>
        <v>#N/A</v>
      </c>
    </row>
    <row r="497" spans="2:14" hidden="1" outlineLevel="1" x14ac:dyDescent="0.25">
      <c r="B497" s="7" t="s">
        <v>241</v>
      </c>
      <c r="C497" s="231"/>
      <c r="F497"/>
      <c r="G497"/>
      <c r="I497" s="11" t="s">
        <v>30</v>
      </c>
      <c r="J497" s="11" t="s">
        <v>2</v>
      </c>
      <c r="K497" s="12" t="e">
        <f>SUM(K498:K501)</f>
        <v>#N/A</v>
      </c>
      <c r="L497" s="12" t="e">
        <f>SUM(L498:L501)</f>
        <v>#VALUE!</v>
      </c>
    </row>
    <row r="498" spans="2:14" hidden="1" outlineLevel="1" x14ac:dyDescent="0.25">
      <c r="B498" s="7" t="s">
        <v>242</v>
      </c>
      <c r="C498" s="231"/>
      <c r="D498" s="67"/>
      <c r="E498" s="67"/>
      <c r="F498"/>
      <c r="G498"/>
      <c r="I498" s="10" t="s">
        <v>0</v>
      </c>
      <c r="J498" s="10" t="s">
        <v>2</v>
      </c>
      <c r="K498" s="59" t="e">
        <f>C493*D508</f>
        <v>#N/A</v>
      </c>
      <c r="L498" s="59">
        <f>C493*F508</f>
        <v>0</v>
      </c>
      <c r="M498" s="2"/>
    </row>
    <row r="499" spans="2:14" hidden="1" outlineLevel="1" x14ac:dyDescent="0.25">
      <c r="I499" s="7" t="s">
        <v>24</v>
      </c>
      <c r="J499" s="10" t="s">
        <v>2</v>
      </c>
      <c r="K499" s="59" t="e">
        <f>IF(E509&gt;0,E509,D509)*C493</f>
        <v>#N/A</v>
      </c>
      <c r="L499" s="59">
        <f>C493*F509</f>
        <v>0</v>
      </c>
    </row>
    <row r="500" spans="2:14" hidden="1" outlineLevel="1" x14ac:dyDescent="0.25">
      <c r="B500" s="6" t="s">
        <v>14</v>
      </c>
      <c r="C500" s="6"/>
      <c r="D500" s="6"/>
      <c r="E500" s="6"/>
      <c r="F500" s="6"/>
      <c r="G500" s="6"/>
      <c r="I500" s="7" t="s">
        <v>29</v>
      </c>
      <c r="J500" s="10" t="s">
        <v>2</v>
      </c>
      <c r="K500" s="59" t="e">
        <f>$C493*$C495*(1/100)*IF(E503&gt;0,E503,D503)*D518</f>
        <v>#N/A</v>
      </c>
      <c r="L500" s="59" t="e">
        <f>C493*C495*(1/100)*F502*G518+IFERROR(C493*C495*(1/100)*IF(G504&gt;0,G504,F504)*F518,0)</f>
        <v>#VALUE!</v>
      </c>
    </row>
    <row r="501" spans="2:14" hidden="1" outlineLevel="1" x14ac:dyDescent="0.25">
      <c r="B501" s="9" t="s">
        <v>15</v>
      </c>
      <c r="C501" s="9" t="s">
        <v>16</v>
      </c>
      <c r="D501" s="627" t="s">
        <v>1</v>
      </c>
      <c r="E501" s="627"/>
      <c r="F501" s="636" t="s">
        <v>4</v>
      </c>
      <c r="G501" s="636"/>
      <c r="I501" s="7" t="s">
        <v>23</v>
      </c>
      <c r="J501" s="10" t="s">
        <v>2</v>
      </c>
      <c r="K501" s="60">
        <f>IFERROR(C493*D510,0)+D511</f>
        <v>0</v>
      </c>
      <c r="L501" s="60">
        <f>IFERROR(C493*F510,0)+F511</f>
        <v>0</v>
      </c>
    </row>
    <row r="502" spans="2:14" hidden="1" outlineLevel="1" x14ac:dyDescent="0.25">
      <c r="B502" s="7" t="s">
        <v>18</v>
      </c>
      <c r="C502" s="7" t="s">
        <v>5</v>
      </c>
      <c r="D502" s="615" t="s">
        <v>6</v>
      </c>
      <c r="E502" s="616"/>
      <c r="F502" s="617" t="str">
        <f>IF(Hypothèses!G23&gt;0,Hypothèses!G23,Hypothèses!E23)</f>
        <v/>
      </c>
      <c r="G502" s="617"/>
      <c r="I502" s="13" t="s">
        <v>8</v>
      </c>
      <c r="J502" s="14"/>
      <c r="K502" s="15" t="e">
        <f>K493+K497</f>
        <v>#N/A</v>
      </c>
      <c r="L502" s="15" t="e">
        <f>L493+L497</f>
        <v>#N/A</v>
      </c>
    </row>
    <row r="503" spans="2:14" hidden="1" outlineLevel="1" x14ac:dyDescent="0.25">
      <c r="B503" s="7" t="s">
        <v>17</v>
      </c>
      <c r="C503" s="7" t="s">
        <v>32</v>
      </c>
      <c r="D503" s="142" t="e">
        <f>VLOOKUP($E488,Sources!$B$53:$D$62,3,FALSE)</f>
        <v>#N/A</v>
      </c>
      <c r="E503" s="234"/>
      <c r="F503" s="617" t="s">
        <v>6</v>
      </c>
      <c r="G503" s="617"/>
      <c r="I503" s="7" t="s">
        <v>27</v>
      </c>
      <c r="J503" s="10" t="s">
        <v>2</v>
      </c>
      <c r="K503" s="621" t="e">
        <f>L502-K502</f>
        <v>#N/A</v>
      </c>
      <c r="L503" s="621"/>
    </row>
    <row r="504" spans="2:14" hidden="1" outlineLevel="1" x14ac:dyDescent="0.25">
      <c r="B504" s="7" t="s">
        <v>123</v>
      </c>
      <c r="C504" s="7" t="s">
        <v>7</v>
      </c>
      <c r="D504" s="615" t="s">
        <v>6</v>
      </c>
      <c r="E504" s="616"/>
      <c r="F504" s="144" t="e">
        <f>VLOOKUP(E488,Sources!$B$53:$D$62,2,FALSE)</f>
        <v>#N/A</v>
      </c>
      <c r="G504" s="235"/>
      <c r="I504" s="7" t="s">
        <v>27</v>
      </c>
      <c r="J504" s="10" t="s">
        <v>9</v>
      </c>
      <c r="K504" s="622">
        <f>IFERROR(K503/K502,0)</f>
        <v>0</v>
      </c>
      <c r="L504" s="622"/>
    </row>
    <row r="505" spans="2:14" hidden="1" outlineLevel="1" x14ac:dyDescent="0.25">
      <c r="B505" s="8" t="s">
        <v>19</v>
      </c>
      <c r="C505" s="10" t="s">
        <v>2</v>
      </c>
      <c r="D505" s="232" t="e">
        <f>VLOOKUP($E488,Sources!$B$14:$D$23,2,FALSE)</f>
        <v>#N/A</v>
      </c>
      <c r="E505" s="236"/>
      <c r="F505" s="232" t="e">
        <f>VLOOKUP($E488,Sources!$B$14:$D$23,3,FALSE)</f>
        <v>#N/A</v>
      </c>
      <c r="G505" s="236"/>
      <c r="I505" s="7" t="s">
        <v>27</v>
      </c>
      <c r="J505" s="16" t="s">
        <v>28</v>
      </c>
      <c r="K505" s="623">
        <f>IFERROR((L502-K502)/(C493*C495),0)</f>
        <v>0</v>
      </c>
      <c r="L505" s="623"/>
    </row>
    <row r="506" spans="2:14" hidden="1" outlineLevel="1" x14ac:dyDescent="0.25">
      <c r="B506" s="16" t="s">
        <v>20</v>
      </c>
      <c r="C506" s="81" t="s">
        <v>9</v>
      </c>
      <c r="D506" s="624" t="e">
        <f>IF(OR($C493&gt;VLOOKUP($E488,Sources!$B$82:$G$91,6,FALSE),$C493*$C495&gt;VLOOKUP($E488,Sources!$B$96:$G$105,6,FALSE)),0,MIN(VLOOKUP($E488,Sources!$B$82:$F$91,2,FALSE)*$C493^3+VLOOKUP($E488,Sources!$B$82:$F$91,3,FALSE)*$C493^2+VLOOKUP($E488,Sources!$B$82:$F$91,4,FALSE)*$C493+VLOOKUP($E488,Sources!$B$82:$F$91,5,FALSE),VLOOKUP($E488,Sources!$B$96:$F$105,2,FALSE)*($C493*$C495)^3+VLOOKUP($E488,Sources!$B$96:$F$105,3,FALSE)*($C493*$C495)^2+VLOOKUP($E488,Sources!$B$96:$F$105,4,FALSE)*$C493*$C495+VLOOKUP($E488,Sources!$B$96:$F$105,5,FALSE)))</f>
        <v>#N/A</v>
      </c>
      <c r="E506" s="625"/>
      <c r="F506" s="626" t="e">
        <f>IF(OR($C493&gt;VLOOKUP($E488,Sources!$B$82:$G$91,6,FALSE),$C493*$C495&gt;VLOOKUP($E488,Sources!$B$96:$G$105,6,FALSE)),0,(1-Sources!$D$77)*MIN(VLOOKUP($E488,Sources!$B$82:$F$91,2,FALSE)*$C493^3+VLOOKUP($E488,Sources!$B$82:$F$91,3,FALSE)*$C493^2+VLOOKUP($E488,Sources!$B$82:$F$91,4,FALSE)*$C493+VLOOKUP($E488,Sources!$B$82:$F$91,5,FALSE),VLOOKUP($E488,Sources!$B$96:$F$105,2,FALSE)*($C493*$C495)^3+VLOOKUP($E488,Sources!$B$96:$F$105,3,FALSE)*($C493*$C495)^2+VLOOKUP($E488,Sources!$B$96:$F$105,4,FALSE)*$C493*$C495+VLOOKUP($E488,Sources!$B$96:$F$105,5,FALSE)))</f>
        <v>#N/A</v>
      </c>
      <c r="G506" s="626"/>
      <c r="I506"/>
      <c r="K506" s="3"/>
      <c r="M506" s="3"/>
      <c r="N506" s="3"/>
    </row>
    <row r="507" spans="2:14" hidden="1" outlineLevel="1" x14ac:dyDescent="0.25">
      <c r="B507" s="7" t="s">
        <v>0</v>
      </c>
      <c r="C507" s="7" t="s">
        <v>43</v>
      </c>
      <c r="D507" s="143" t="e">
        <f>VLOOKUP($E488,Sources!$B$27:$D$36,2,FALSE)</f>
        <v>#N/A</v>
      </c>
      <c r="E507" s="237"/>
      <c r="F507" s="614"/>
      <c r="G507" s="614"/>
      <c r="I507"/>
      <c r="K507" s="3"/>
      <c r="L507" s="3"/>
      <c r="N507" s="3"/>
    </row>
    <row r="508" spans="2:14" hidden="1" outlineLevel="1" x14ac:dyDescent="0.25">
      <c r="B508" s="10" t="s">
        <v>0</v>
      </c>
      <c r="C508" s="7" t="s">
        <v>34</v>
      </c>
      <c r="D508" s="615" t="e">
        <f>IF(E507&gt;0,E507,D507)*C495</f>
        <v>#N/A</v>
      </c>
      <c r="E508" s="616"/>
      <c r="F508" s="617">
        <f>F507*C495</f>
        <v>0</v>
      </c>
      <c r="G508" s="617"/>
      <c r="I508"/>
      <c r="K508" s="3"/>
      <c r="L508" s="3"/>
      <c r="N508" s="3"/>
    </row>
    <row r="509" spans="2:14" hidden="1" outlineLevel="1" x14ac:dyDescent="0.25">
      <c r="B509" s="7" t="s">
        <v>24</v>
      </c>
      <c r="C509" s="7" t="s">
        <v>34</v>
      </c>
      <c r="D509" s="232" t="e">
        <f>VLOOKUP($E488,Sources!$B$40:$D$49,2,FALSE)</f>
        <v>#N/A</v>
      </c>
      <c r="E509" s="236"/>
      <c r="F509" s="614"/>
      <c r="G509" s="614"/>
      <c r="I509"/>
      <c r="K509" s="3"/>
      <c r="L509" s="3"/>
      <c r="N509" s="3"/>
    </row>
    <row r="510" spans="2:14" hidden="1" outlineLevel="1" x14ac:dyDescent="0.25">
      <c r="B510" s="7" t="s">
        <v>26</v>
      </c>
      <c r="C510" s="7" t="s">
        <v>34</v>
      </c>
      <c r="D510" s="615">
        <v>0</v>
      </c>
      <c r="E510" s="616"/>
      <c r="F510" s="614"/>
      <c r="G510" s="614"/>
      <c r="I510"/>
      <c r="J510"/>
      <c r="K510" s="3"/>
      <c r="L510" s="3"/>
      <c r="N510" s="3"/>
    </row>
    <row r="511" spans="2:14" hidden="1" outlineLevel="1" x14ac:dyDescent="0.25">
      <c r="B511" s="7" t="s">
        <v>209</v>
      </c>
      <c r="C511" s="7" t="s">
        <v>2</v>
      </c>
      <c r="D511" s="618"/>
      <c r="E511" s="619"/>
      <c r="F511" s="614"/>
      <c r="G511" s="614"/>
      <c r="I511"/>
      <c r="J511"/>
      <c r="K511" s="3"/>
      <c r="L511" s="3"/>
      <c r="N511" s="3"/>
    </row>
    <row r="512" spans="2:14" hidden="1" outlineLevel="1" x14ac:dyDescent="0.25">
      <c r="B512" s="7" t="s">
        <v>25</v>
      </c>
      <c r="C512" s="10" t="s">
        <v>2</v>
      </c>
      <c r="D512" s="615">
        <v>0</v>
      </c>
      <c r="E512" s="616"/>
      <c r="F512" s="620">
        <f>C498+C497</f>
        <v>0</v>
      </c>
      <c r="G512" s="620"/>
      <c r="I512"/>
      <c r="J512" s="3"/>
      <c r="K512" s="3"/>
      <c r="L512" s="3"/>
      <c r="N512" s="3"/>
    </row>
    <row r="513" spans="1:17" hidden="1" outlineLevel="1" x14ac:dyDescent="0.25">
      <c r="G513"/>
      <c r="H513" s="3"/>
      <c r="I513" s="3"/>
      <c r="J513" s="3"/>
      <c r="L513" s="3"/>
    </row>
    <row r="514" spans="1:17" hidden="1" outlineLevel="1" x14ac:dyDescent="0.25">
      <c r="H514" s="3"/>
      <c r="I514" s="3"/>
      <c r="J514" s="3"/>
      <c r="L514" s="3"/>
    </row>
    <row r="515" spans="1:17" hidden="1" outlineLevel="1" x14ac:dyDescent="0.25">
      <c r="B515" s="6" t="s">
        <v>10</v>
      </c>
      <c r="C515" s="6"/>
      <c r="D515" s="6"/>
      <c r="E515" s="5"/>
      <c r="F515" s="5"/>
      <c r="G515" s="5"/>
      <c r="I515" s="3"/>
      <c r="J515" s="3"/>
      <c r="L515" s="3"/>
    </row>
    <row r="516" spans="1:17" hidden="1" outlineLevel="1" x14ac:dyDescent="0.25">
      <c r="B516" s="9" t="s">
        <v>15</v>
      </c>
      <c r="C516" s="9" t="s">
        <v>16</v>
      </c>
      <c r="D516" s="627" t="s">
        <v>1</v>
      </c>
      <c r="E516" s="627"/>
      <c r="F516" s="203" t="s">
        <v>21</v>
      </c>
      <c r="G516" s="203" t="s">
        <v>4</v>
      </c>
      <c r="J516" s="3"/>
      <c r="K516" s="3"/>
      <c r="M516" s="3"/>
    </row>
    <row r="517" spans="1:17" hidden="1" outlineLevel="1" x14ac:dyDescent="0.25">
      <c r="B517" s="7" t="s">
        <v>236</v>
      </c>
      <c r="C517" s="7" t="s">
        <v>119</v>
      </c>
      <c r="D517" s="612">
        <f>IF(OR(E488=Sources!$B$14,E488=Sources!$B$15,E488=Sources!$B$23,E488=Sources!$B$24),Sources!$D$4,IF(OR(E488=Sources!$B$16,E488=Sources!$B$17,E488=Sources!$B$18),Sources!$D$6,Sources!$D$7))</f>
        <v>1.367</v>
      </c>
      <c r="E517" s="613"/>
      <c r="F517" s="140">
        <f>Sources!$C$8</f>
        <v>0.24</v>
      </c>
      <c r="J517" s="3"/>
      <c r="K517" s="3"/>
      <c r="M517" s="3"/>
    </row>
    <row r="518" spans="1:17" hidden="1" outlineLevel="1" x14ac:dyDescent="0.25">
      <c r="B518" s="7" t="s">
        <v>35</v>
      </c>
      <c r="C518" s="7" t="s">
        <v>119</v>
      </c>
      <c r="D518" s="612" t="e">
        <f>D517*(1+Sources!C$9)^(C492-2020)*(1-(1+Sources!C$9)^C493)/(-Sources!C$9*C493)</f>
        <v>#DIV/0!</v>
      </c>
      <c r="E518" s="613"/>
      <c r="F518" s="140" t="e">
        <f>Sources!C$8*(1+Sources!C$10)^(C492-2019)*(1-(1+Sources!C$10)^C493)/(-Sources!C$10*C493)</f>
        <v>#DIV/0!</v>
      </c>
      <c r="G518" s="140">
        <f>IFERROR(Hypothèses!H23*(1+L$8)^(C492-L$7)*(1-(1+L$8)^C493)/(-L$8*C493),Hypothèses!H23)</f>
        <v>0</v>
      </c>
      <c r="J518" s="3"/>
      <c r="K518" s="3"/>
      <c r="M518" s="3"/>
    </row>
    <row r="519" spans="1:17" collapsed="1" x14ac:dyDescent="0.25">
      <c r="B519" s="17"/>
      <c r="I519" s="3"/>
      <c r="J519" s="3"/>
      <c r="L519" s="3"/>
    </row>
    <row r="520" spans="1:17" s="628" customFormat="1" ht="15" customHeight="1" x14ac:dyDescent="0.3">
      <c r="A520" s="628" t="s">
        <v>218</v>
      </c>
    </row>
    <row r="521" spans="1:17" x14ac:dyDescent="0.25">
      <c r="A521" s="229">
        <f>IF(AND(F541&gt;0,C526&gt;0,IFERROR(K537,0)&gt;0),1,0)</f>
        <v>0</v>
      </c>
      <c r="B521" s="4"/>
    </row>
    <row r="522" spans="1:17" ht="18.75" x14ac:dyDescent="0.3">
      <c r="B522" s="4"/>
      <c r="E522" s="629" t="str">
        <f>IF(Hypothèses!B24&lt;&gt;0,Hypothèses!B24,"")</f>
        <v/>
      </c>
      <c r="F522" s="630"/>
      <c r="G522" s="630"/>
      <c r="H522" s="630"/>
      <c r="I522" s="631"/>
      <c r="O522" s="4"/>
    </row>
    <row r="523" spans="1:17" hidden="1" outlineLevel="1" x14ac:dyDescent="0.25">
      <c r="A523" s="4" t="s">
        <v>54</v>
      </c>
      <c r="B523" s="632" t="s">
        <v>114</v>
      </c>
      <c r="C523" s="632"/>
      <c r="D523" s="632"/>
      <c r="E523" s="633"/>
      <c r="F523" s="634"/>
      <c r="G523" s="634"/>
      <c r="H523" s="634"/>
      <c r="I523" s="635"/>
      <c r="O523" s="4"/>
    </row>
    <row r="524" spans="1:17" hidden="1" outlineLevel="1" x14ac:dyDescent="0.25">
      <c r="O524" s="4"/>
    </row>
    <row r="525" spans="1:17" hidden="1" outlineLevel="1" x14ac:dyDescent="0.25">
      <c r="B525" s="6" t="s">
        <v>13</v>
      </c>
      <c r="C525" s="6"/>
      <c r="D525" s="6"/>
      <c r="E525" s="6"/>
      <c r="F525" s="6"/>
      <c r="G525" s="6"/>
      <c r="I525" s="6" t="s">
        <v>22</v>
      </c>
      <c r="J525" s="6"/>
      <c r="K525" s="6"/>
      <c r="L525" s="6"/>
      <c r="Q525" s="4"/>
    </row>
    <row r="526" spans="1:17" hidden="1" outlineLevel="1" x14ac:dyDescent="0.25">
      <c r="B526" s="7" t="s">
        <v>36</v>
      </c>
      <c r="C526" s="230"/>
      <c r="I526" s="9" t="s">
        <v>15</v>
      </c>
      <c r="J526" s="9" t="s">
        <v>16</v>
      </c>
      <c r="K526" s="9" t="s">
        <v>1</v>
      </c>
      <c r="L526" s="9" t="s">
        <v>4</v>
      </c>
      <c r="Q526" s="4"/>
    </row>
    <row r="527" spans="1:17" hidden="1" outlineLevel="1" x14ac:dyDescent="0.25">
      <c r="B527" s="7" t="s">
        <v>240</v>
      </c>
      <c r="C527" s="231"/>
      <c r="I527" s="11" t="s">
        <v>31</v>
      </c>
      <c r="J527" s="11" t="s">
        <v>2</v>
      </c>
      <c r="K527" s="12" t="e">
        <f>SUM(K528:K530)</f>
        <v>#N/A</v>
      </c>
      <c r="L527" s="12" t="e">
        <f>SUM(L528:L530)</f>
        <v>#N/A</v>
      </c>
    </row>
    <row r="528" spans="1:17" hidden="1" outlineLevel="1" x14ac:dyDescent="0.25">
      <c r="B528" s="7" t="s">
        <v>44</v>
      </c>
      <c r="C528" s="231"/>
      <c r="I528" s="10" t="s">
        <v>3</v>
      </c>
      <c r="J528" s="10" t="s">
        <v>2</v>
      </c>
      <c r="K528" s="59" t="e">
        <f>IF(E539&gt;0,E539,D539)</f>
        <v>#N/A</v>
      </c>
      <c r="L528" s="59" t="e">
        <f>IF(G539&gt;0,G539,F539)</f>
        <v>#N/A</v>
      </c>
      <c r="M528" s="2"/>
    </row>
    <row r="529" spans="2:14" hidden="1" outlineLevel="1" x14ac:dyDescent="0.25">
      <c r="B529" s="7" t="s">
        <v>11</v>
      </c>
      <c r="C529" s="59">
        <f>Hypothèses!C24</f>
        <v>0</v>
      </c>
      <c r="I529" s="7" t="s">
        <v>33</v>
      </c>
      <c r="J529" s="10" t="s">
        <v>2</v>
      </c>
      <c r="K529" s="59">
        <f>-D546</f>
        <v>0</v>
      </c>
      <c r="L529" s="59">
        <f>-F546</f>
        <v>0</v>
      </c>
    </row>
    <row r="530" spans="2:14" hidden="1" outlineLevel="1" x14ac:dyDescent="0.25">
      <c r="B530" s="7" t="s">
        <v>12</v>
      </c>
      <c r="C530" s="59">
        <f>IFERROR(C529/C528,0)</f>
        <v>0</v>
      </c>
      <c r="I530" s="7" t="s">
        <v>20</v>
      </c>
      <c r="J530" s="10" t="s">
        <v>2</v>
      </c>
      <c r="K530" s="59" t="e">
        <f>-D540*K528</f>
        <v>#N/A</v>
      </c>
      <c r="L530" s="59" t="e">
        <f>-F540*L528</f>
        <v>#N/A</v>
      </c>
    </row>
    <row r="531" spans="2:14" hidden="1" outlineLevel="1" x14ac:dyDescent="0.25">
      <c r="B531" s="7" t="s">
        <v>241</v>
      </c>
      <c r="C531" s="231"/>
      <c r="F531"/>
      <c r="G531"/>
      <c r="I531" s="11" t="s">
        <v>30</v>
      </c>
      <c r="J531" s="11" t="s">
        <v>2</v>
      </c>
      <c r="K531" s="12" t="e">
        <f>SUM(K532:K535)</f>
        <v>#N/A</v>
      </c>
      <c r="L531" s="12" t="e">
        <f>SUM(L532:L535)</f>
        <v>#VALUE!</v>
      </c>
    </row>
    <row r="532" spans="2:14" hidden="1" outlineLevel="1" x14ac:dyDescent="0.25">
      <c r="B532" s="7" t="s">
        <v>242</v>
      </c>
      <c r="C532" s="231"/>
      <c r="D532" s="67"/>
      <c r="E532" s="67"/>
      <c r="F532"/>
      <c r="G532"/>
      <c r="I532" s="10" t="s">
        <v>0</v>
      </c>
      <c r="J532" s="10" t="s">
        <v>2</v>
      </c>
      <c r="K532" s="59" t="e">
        <f>C527*D542</f>
        <v>#N/A</v>
      </c>
      <c r="L532" s="59">
        <f>C527*F542</f>
        <v>0</v>
      </c>
      <c r="M532" s="2"/>
    </row>
    <row r="533" spans="2:14" hidden="1" outlineLevel="1" x14ac:dyDescent="0.25">
      <c r="I533" s="7" t="s">
        <v>24</v>
      </c>
      <c r="J533" s="10" t="s">
        <v>2</v>
      </c>
      <c r="K533" s="59" t="e">
        <f>IF(E543&gt;0,E543,D543)*C527</f>
        <v>#N/A</v>
      </c>
      <c r="L533" s="59">
        <f>C527*F543</f>
        <v>0</v>
      </c>
    </row>
    <row r="534" spans="2:14" hidden="1" outlineLevel="1" x14ac:dyDescent="0.25">
      <c r="B534" s="6" t="s">
        <v>14</v>
      </c>
      <c r="C534" s="6"/>
      <c r="D534" s="6"/>
      <c r="E534" s="6"/>
      <c r="F534" s="6"/>
      <c r="G534" s="6"/>
      <c r="I534" s="7" t="s">
        <v>29</v>
      </c>
      <c r="J534" s="10" t="s">
        <v>2</v>
      </c>
      <c r="K534" s="59" t="e">
        <f>$C527*$C529*(1/100)*IF(E537&gt;0,E537,D537)*D552</f>
        <v>#N/A</v>
      </c>
      <c r="L534" s="59" t="e">
        <f>C527*C529*(1/100)*F536*G552+IFERROR(C527*C529*(1/100)*IF(G538&gt;0,G538,F538)*F552,0)</f>
        <v>#VALUE!</v>
      </c>
    </row>
    <row r="535" spans="2:14" hidden="1" outlineLevel="1" x14ac:dyDescent="0.25">
      <c r="B535" s="9" t="s">
        <v>15</v>
      </c>
      <c r="C535" s="9" t="s">
        <v>16</v>
      </c>
      <c r="D535" s="627" t="s">
        <v>1</v>
      </c>
      <c r="E535" s="627"/>
      <c r="F535" s="636" t="s">
        <v>4</v>
      </c>
      <c r="G535" s="636"/>
      <c r="I535" s="7" t="s">
        <v>23</v>
      </c>
      <c r="J535" s="10" t="s">
        <v>2</v>
      </c>
      <c r="K535" s="60">
        <f>IFERROR(C527*D544,0)+D545</f>
        <v>0</v>
      </c>
      <c r="L535" s="60">
        <f>IFERROR(C527*F544,0)+F545</f>
        <v>0</v>
      </c>
    </row>
    <row r="536" spans="2:14" hidden="1" outlineLevel="1" x14ac:dyDescent="0.25">
      <c r="B536" s="7" t="s">
        <v>18</v>
      </c>
      <c r="C536" s="7" t="s">
        <v>5</v>
      </c>
      <c r="D536" s="615" t="s">
        <v>6</v>
      </c>
      <c r="E536" s="616"/>
      <c r="F536" s="617" t="str">
        <f>IF(Hypothèses!G24&gt;0,Hypothèses!G24,Hypothèses!E24)</f>
        <v/>
      </c>
      <c r="G536" s="617"/>
      <c r="I536" s="13" t="s">
        <v>8</v>
      </c>
      <c r="J536" s="14"/>
      <c r="K536" s="15" t="e">
        <f>K527+K531</f>
        <v>#N/A</v>
      </c>
      <c r="L536" s="15" t="e">
        <f>L527+L531</f>
        <v>#N/A</v>
      </c>
    </row>
    <row r="537" spans="2:14" hidden="1" outlineLevel="1" x14ac:dyDescent="0.25">
      <c r="B537" s="7" t="s">
        <v>17</v>
      </c>
      <c r="C537" s="7" t="s">
        <v>32</v>
      </c>
      <c r="D537" s="142" t="e">
        <f>VLOOKUP($E522,Sources!$B$53:$D$62,3,FALSE)</f>
        <v>#N/A</v>
      </c>
      <c r="E537" s="234"/>
      <c r="F537" s="617" t="s">
        <v>6</v>
      </c>
      <c r="G537" s="617"/>
      <c r="I537" s="7" t="s">
        <v>27</v>
      </c>
      <c r="J537" s="10" t="s">
        <v>2</v>
      </c>
      <c r="K537" s="621" t="e">
        <f>L536-K536</f>
        <v>#N/A</v>
      </c>
      <c r="L537" s="621"/>
    </row>
    <row r="538" spans="2:14" hidden="1" outlineLevel="1" x14ac:dyDescent="0.25">
      <c r="B538" s="7" t="s">
        <v>123</v>
      </c>
      <c r="C538" s="7" t="s">
        <v>7</v>
      </c>
      <c r="D538" s="615" t="s">
        <v>6</v>
      </c>
      <c r="E538" s="616"/>
      <c r="F538" s="144" t="e">
        <f>VLOOKUP(E522,Sources!$B$53:$D$62,2,FALSE)</f>
        <v>#N/A</v>
      </c>
      <c r="G538" s="235"/>
      <c r="I538" s="7" t="s">
        <v>27</v>
      </c>
      <c r="J538" s="10" t="s">
        <v>9</v>
      </c>
      <c r="K538" s="622">
        <f>IFERROR(K537/K536,0)</f>
        <v>0</v>
      </c>
      <c r="L538" s="622"/>
    </row>
    <row r="539" spans="2:14" hidden="1" outlineLevel="1" x14ac:dyDescent="0.25">
      <c r="B539" s="8" t="s">
        <v>19</v>
      </c>
      <c r="C539" s="10" t="s">
        <v>2</v>
      </c>
      <c r="D539" s="232" t="e">
        <f>VLOOKUP($E522,Sources!$B$14:$D$23,2,FALSE)</f>
        <v>#N/A</v>
      </c>
      <c r="E539" s="236"/>
      <c r="F539" s="232" t="e">
        <f>VLOOKUP($E522,Sources!$B$14:$D$23,3,FALSE)</f>
        <v>#N/A</v>
      </c>
      <c r="G539" s="236"/>
      <c r="I539" s="7" t="s">
        <v>27</v>
      </c>
      <c r="J539" s="16" t="s">
        <v>28</v>
      </c>
      <c r="K539" s="623">
        <f>IFERROR((L536-K536)/(C527*C529),0)</f>
        <v>0</v>
      </c>
      <c r="L539" s="623"/>
    </row>
    <row r="540" spans="2:14" hidden="1" outlineLevel="1" x14ac:dyDescent="0.25">
      <c r="B540" s="16" t="s">
        <v>20</v>
      </c>
      <c r="C540" s="81" t="s">
        <v>9</v>
      </c>
      <c r="D540" s="624" t="e">
        <f>IF(OR($C527&gt;VLOOKUP($E522,Sources!$B$82:$G$91,6,FALSE),$C527*$C529&gt;VLOOKUP($E522,Sources!$B$96:$G$105,6,FALSE)),0,MIN(VLOOKUP($E522,Sources!$B$82:$F$91,2,FALSE)*$C527^3+VLOOKUP($E522,Sources!$B$82:$F$91,3,FALSE)*$C527^2+VLOOKUP($E522,Sources!$B$82:$F$91,4,FALSE)*$C527+VLOOKUP($E522,Sources!$B$82:$F$91,5,FALSE),VLOOKUP($E522,Sources!$B$96:$F$105,2,FALSE)*($C527*$C529)^3+VLOOKUP($E522,Sources!$B$96:$F$105,3,FALSE)*($C527*$C529)^2+VLOOKUP($E522,Sources!$B$96:$F$105,4,FALSE)*$C527*$C529+VLOOKUP($E522,Sources!$B$96:$F$105,5,FALSE)))</f>
        <v>#N/A</v>
      </c>
      <c r="E540" s="625"/>
      <c r="F540" s="626" t="e">
        <f>IF(OR($C527&gt;VLOOKUP($E522,Sources!$B$82:$G$91,6,FALSE),$C527*$C529&gt;VLOOKUP($E522,Sources!$B$96:$G$105,6,FALSE)),0,(1-Sources!$D$77)*MIN(VLOOKUP($E522,Sources!$B$82:$F$91,2,FALSE)*$C527^3+VLOOKUP($E522,Sources!$B$82:$F$91,3,FALSE)*$C527^2+VLOOKUP($E522,Sources!$B$82:$F$91,4,FALSE)*$C527+VLOOKUP($E522,Sources!$B$82:$F$91,5,FALSE),VLOOKUP($E522,Sources!$B$96:$F$105,2,FALSE)*($C527*$C529)^3+VLOOKUP($E522,Sources!$B$96:$F$105,3,FALSE)*($C527*$C529)^2+VLOOKUP($E522,Sources!$B$96:$F$105,4,FALSE)*$C527*$C529+VLOOKUP($E522,Sources!$B$96:$F$105,5,FALSE)))</f>
        <v>#N/A</v>
      </c>
      <c r="G540" s="626"/>
      <c r="I540"/>
      <c r="K540" s="3"/>
      <c r="M540" s="3"/>
      <c r="N540" s="3"/>
    </row>
    <row r="541" spans="2:14" hidden="1" outlineLevel="1" x14ac:dyDescent="0.25">
      <c r="B541" s="7" t="s">
        <v>0</v>
      </c>
      <c r="C541" s="7" t="s">
        <v>43</v>
      </c>
      <c r="D541" s="143" t="e">
        <f>VLOOKUP($E522,Sources!$B$27:$D$36,2,FALSE)</f>
        <v>#N/A</v>
      </c>
      <c r="E541" s="237"/>
      <c r="F541" s="614"/>
      <c r="G541" s="614"/>
      <c r="I541"/>
      <c r="K541" s="3"/>
      <c r="L541" s="3"/>
      <c r="N541" s="3"/>
    </row>
    <row r="542" spans="2:14" hidden="1" outlineLevel="1" x14ac:dyDescent="0.25">
      <c r="B542" s="10" t="s">
        <v>0</v>
      </c>
      <c r="C542" s="7" t="s">
        <v>34</v>
      </c>
      <c r="D542" s="615" t="e">
        <f>IF(E541&gt;0,E541,D541)*C529</f>
        <v>#N/A</v>
      </c>
      <c r="E542" s="616"/>
      <c r="F542" s="617">
        <f>F541*C529</f>
        <v>0</v>
      </c>
      <c r="G542" s="617"/>
      <c r="I542"/>
      <c r="K542" s="3"/>
      <c r="L542" s="3"/>
      <c r="N542" s="3"/>
    </row>
    <row r="543" spans="2:14" hidden="1" outlineLevel="1" x14ac:dyDescent="0.25">
      <c r="B543" s="7" t="s">
        <v>24</v>
      </c>
      <c r="C543" s="7" t="s">
        <v>34</v>
      </c>
      <c r="D543" s="232" t="e">
        <f>VLOOKUP($E522,Sources!$B$40:$D$49,2,FALSE)</f>
        <v>#N/A</v>
      </c>
      <c r="E543" s="236"/>
      <c r="F543" s="614"/>
      <c r="G543" s="614"/>
      <c r="I543"/>
      <c r="K543" s="3"/>
      <c r="L543" s="3"/>
      <c r="N543" s="3"/>
    </row>
    <row r="544" spans="2:14" hidden="1" outlineLevel="1" x14ac:dyDescent="0.25">
      <c r="B544" s="7" t="s">
        <v>26</v>
      </c>
      <c r="C544" s="7" t="s">
        <v>34</v>
      </c>
      <c r="D544" s="615">
        <v>0</v>
      </c>
      <c r="E544" s="616"/>
      <c r="F544" s="614"/>
      <c r="G544" s="614"/>
      <c r="I544"/>
      <c r="J544"/>
      <c r="K544" s="3"/>
      <c r="L544" s="3"/>
      <c r="N544" s="3"/>
    </row>
    <row r="545" spans="1:17" hidden="1" outlineLevel="1" x14ac:dyDescent="0.25">
      <c r="B545" s="7" t="s">
        <v>209</v>
      </c>
      <c r="C545" s="7" t="s">
        <v>2</v>
      </c>
      <c r="D545" s="618"/>
      <c r="E545" s="619"/>
      <c r="F545" s="614"/>
      <c r="G545" s="614"/>
      <c r="I545"/>
      <c r="J545"/>
      <c r="K545" s="3"/>
      <c r="L545" s="3"/>
      <c r="N545" s="3"/>
    </row>
    <row r="546" spans="1:17" hidden="1" outlineLevel="1" x14ac:dyDescent="0.25">
      <c r="B546" s="7" t="s">
        <v>25</v>
      </c>
      <c r="C546" s="10" t="s">
        <v>2</v>
      </c>
      <c r="D546" s="615">
        <v>0</v>
      </c>
      <c r="E546" s="616"/>
      <c r="F546" s="620">
        <f>C532+C531</f>
        <v>0</v>
      </c>
      <c r="G546" s="620"/>
      <c r="I546"/>
      <c r="J546" s="3"/>
      <c r="K546" s="3"/>
      <c r="L546" s="3"/>
      <c r="N546" s="3"/>
    </row>
    <row r="547" spans="1:17" hidden="1" outlineLevel="1" x14ac:dyDescent="0.25">
      <c r="G547"/>
      <c r="H547" s="3"/>
      <c r="I547" s="3"/>
      <c r="J547" s="3"/>
      <c r="L547" s="3"/>
    </row>
    <row r="548" spans="1:17" hidden="1" outlineLevel="1" x14ac:dyDescent="0.25">
      <c r="H548" s="3"/>
      <c r="I548" s="3"/>
      <c r="J548" s="3"/>
      <c r="L548" s="3"/>
    </row>
    <row r="549" spans="1:17" hidden="1" outlineLevel="1" x14ac:dyDescent="0.25">
      <c r="B549" s="6" t="s">
        <v>10</v>
      </c>
      <c r="C549" s="6"/>
      <c r="D549" s="6"/>
      <c r="E549" s="5"/>
      <c r="F549" s="5"/>
      <c r="G549" s="5"/>
      <c r="I549" s="3"/>
      <c r="J549" s="3"/>
      <c r="L549" s="3"/>
    </row>
    <row r="550" spans="1:17" hidden="1" outlineLevel="1" x14ac:dyDescent="0.25">
      <c r="B550" s="9" t="s">
        <v>15</v>
      </c>
      <c r="C550" s="9" t="s">
        <v>16</v>
      </c>
      <c r="D550" s="627" t="s">
        <v>1</v>
      </c>
      <c r="E550" s="627"/>
      <c r="F550" s="203" t="s">
        <v>21</v>
      </c>
      <c r="G550" s="203" t="s">
        <v>4</v>
      </c>
      <c r="J550" s="3"/>
      <c r="K550" s="3"/>
      <c r="M550" s="3"/>
    </row>
    <row r="551" spans="1:17" hidden="1" outlineLevel="1" x14ac:dyDescent="0.25">
      <c r="B551" s="7" t="s">
        <v>236</v>
      </c>
      <c r="C551" s="7" t="s">
        <v>119</v>
      </c>
      <c r="D551" s="612">
        <f>IF(OR(E522=Sources!$B$14,E522=Sources!$B$15,E522=Sources!$B$23,E522=Sources!$B$24),Sources!$D$4,IF(OR(E522=Sources!$B$16,E522=Sources!$B$17,E522=Sources!$B$18),Sources!$D$6,Sources!$D$7))</f>
        <v>1.367</v>
      </c>
      <c r="E551" s="613"/>
      <c r="F551" s="140">
        <f>Sources!$C$8</f>
        <v>0.24</v>
      </c>
      <c r="J551" s="3"/>
      <c r="K551" s="3"/>
      <c r="M551" s="3"/>
    </row>
    <row r="552" spans="1:17" hidden="1" outlineLevel="1" x14ac:dyDescent="0.25">
      <c r="B552" s="7" t="s">
        <v>35</v>
      </c>
      <c r="C552" s="7" t="s">
        <v>119</v>
      </c>
      <c r="D552" s="612" t="e">
        <f>D551*(1+Sources!C$9)^(C526-2020)*(1-(1+Sources!C$9)^C527)/(-Sources!C$9*C527)</f>
        <v>#DIV/0!</v>
      </c>
      <c r="E552" s="613"/>
      <c r="F552" s="140" t="e">
        <f>Sources!C$8*(1+Sources!C$10)^(C526-2019)*(1-(1+Sources!C$10)^C527)/(-Sources!C$10*C527)</f>
        <v>#DIV/0!</v>
      </c>
      <c r="G552" s="140">
        <f>IFERROR(Hypothèses!H24*(1+L$8)^(C526-L$7)*(1-(1+L$8)^C527)/(-L$8*C527),Hypothèses!H24)</f>
        <v>0</v>
      </c>
      <c r="J552" s="3"/>
      <c r="K552" s="3"/>
      <c r="M552" s="3"/>
    </row>
    <row r="553" spans="1:17" collapsed="1" x14ac:dyDescent="0.25">
      <c r="B553" s="17"/>
      <c r="I553" s="3"/>
      <c r="J553" s="3"/>
      <c r="L553" s="3"/>
    </row>
    <row r="554" spans="1:17" s="628" customFormat="1" ht="15" customHeight="1" x14ac:dyDescent="0.3">
      <c r="A554" s="628" t="s">
        <v>219</v>
      </c>
    </row>
    <row r="555" spans="1:17" x14ac:dyDescent="0.25">
      <c r="A555" s="229">
        <f>IF(AND(F575&gt;0,C560&gt;0,IFERROR(K571,0)&gt;0),1,0)</f>
        <v>0</v>
      </c>
      <c r="B555" s="4"/>
    </row>
    <row r="556" spans="1:17" ht="18.75" x14ac:dyDescent="0.3">
      <c r="B556" s="4"/>
      <c r="E556" s="629" t="str">
        <f>IF(Hypothèses!B25&lt;&gt;0,Hypothèses!B25,"")</f>
        <v/>
      </c>
      <c r="F556" s="630"/>
      <c r="G556" s="630"/>
      <c r="H556" s="630"/>
      <c r="I556" s="631"/>
      <c r="O556" s="4"/>
    </row>
    <row r="557" spans="1:17" hidden="1" outlineLevel="1" x14ac:dyDescent="0.25">
      <c r="A557" s="4" t="s">
        <v>54</v>
      </c>
      <c r="B557" s="632" t="s">
        <v>114</v>
      </c>
      <c r="C557" s="632"/>
      <c r="D557" s="632"/>
      <c r="E557" s="633"/>
      <c r="F557" s="634"/>
      <c r="G557" s="634"/>
      <c r="H557" s="634"/>
      <c r="I557" s="635"/>
      <c r="O557" s="4"/>
    </row>
    <row r="558" spans="1:17" hidden="1" outlineLevel="1" x14ac:dyDescent="0.25">
      <c r="O558" s="4"/>
    </row>
    <row r="559" spans="1:17" hidden="1" outlineLevel="1" x14ac:dyDescent="0.25">
      <c r="B559" s="6" t="s">
        <v>13</v>
      </c>
      <c r="C559" s="6"/>
      <c r="D559" s="6"/>
      <c r="E559" s="6"/>
      <c r="F559" s="6"/>
      <c r="G559" s="6"/>
      <c r="I559" s="6" t="s">
        <v>22</v>
      </c>
      <c r="J559" s="6"/>
      <c r="K559" s="6"/>
      <c r="L559" s="6"/>
      <c r="Q559" s="4"/>
    </row>
    <row r="560" spans="1:17" hidden="1" outlineLevel="1" x14ac:dyDescent="0.25">
      <c r="B560" s="7" t="s">
        <v>36</v>
      </c>
      <c r="C560" s="230"/>
      <c r="I560" s="9" t="s">
        <v>15</v>
      </c>
      <c r="J560" s="9" t="s">
        <v>16</v>
      </c>
      <c r="K560" s="9" t="s">
        <v>1</v>
      </c>
      <c r="L560" s="9" t="s">
        <v>4</v>
      </c>
      <c r="Q560" s="4"/>
    </row>
    <row r="561" spans="2:14" hidden="1" outlineLevel="1" x14ac:dyDescent="0.25">
      <c r="B561" s="7" t="s">
        <v>240</v>
      </c>
      <c r="C561" s="231"/>
      <c r="I561" s="11" t="s">
        <v>31</v>
      </c>
      <c r="J561" s="11" t="s">
        <v>2</v>
      </c>
      <c r="K561" s="12" t="e">
        <f>SUM(K562:K564)</f>
        <v>#N/A</v>
      </c>
      <c r="L561" s="12" t="e">
        <f>SUM(L562:L564)</f>
        <v>#N/A</v>
      </c>
    </row>
    <row r="562" spans="2:14" hidden="1" outlineLevel="1" x14ac:dyDescent="0.25">
      <c r="B562" s="7" t="s">
        <v>44</v>
      </c>
      <c r="C562" s="231"/>
      <c r="I562" s="10" t="s">
        <v>3</v>
      </c>
      <c r="J562" s="10" t="s">
        <v>2</v>
      </c>
      <c r="K562" s="59" t="e">
        <f>IF(E573&gt;0,E573,D573)</f>
        <v>#N/A</v>
      </c>
      <c r="L562" s="59" t="e">
        <f>IF(G573&gt;0,G573,F573)</f>
        <v>#N/A</v>
      </c>
      <c r="M562" s="2"/>
    </row>
    <row r="563" spans="2:14" hidden="1" outlineLevel="1" x14ac:dyDescent="0.25">
      <c r="B563" s="7" t="s">
        <v>11</v>
      </c>
      <c r="C563" s="59">
        <f>Hypothèses!C25</f>
        <v>0</v>
      </c>
      <c r="I563" s="7" t="s">
        <v>33</v>
      </c>
      <c r="J563" s="10" t="s">
        <v>2</v>
      </c>
      <c r="K563" s="59">
        <f>-D580</f>
        <v>0</v>
      </c>
      <c r="L563" s="59">
        <f>-F580</f>
        <v>0</v>
      </c>
    </row>
    <row r="564" spans="2:14" hidden="1" outlineLevel="1" x14ac:dyDescent="0.25">
      <c r="B564" s="7" t="s">
        <v>12</v>
      </c>
      <c r="C564" s="59">
        <f>IFERROR(C563/C562,0)</f>
        <v>0</v>
      </c>
      <c r="I564" s="7" t="s">
        <v>20</v>
      </c>
      <c r="J564" s="10" t="s">
        <v>2</v>
      </c>
      <c r="K564" s="59" t="e">
        <f>-D574*K562</f>
        <v>#N/A</v>
      </c>
      <c r="L564" s="59" t="e">
        <f>-F574*L562</f>
        <v>#N/A</v>
      </c>
    </row>
    <row r="565" spans="2:14" hidden="1" outlineLevel="1" x14ac:dyDescent="0.25">
      <c r="B565" s="7" t="s">
        <v>241</v>
      </c>
      <c r="C565" s="231"/>
      <c r="F565"/>
      <c r="G565"/>
      <c r="I565" s="11" t="s">
        <v>30</v>
      </c>
      <c r="J565" s="11" t="s">
        <v>2</v>
      </c>
      <c r="K565" s="12" t="e">
        <f>SUM(K566:K569)</f>
        <v>#N/A</v>
      </c>
      <c r="L565" s="12" t="e">
        <f>SUM(L566:L569)</f>
        <v>#VALUE!</v>
      </c>
    </row>
    <row r="566" spans="2:14" hidden="1" outlineLevel="1" x14ac:dyDescent="0.25">
      <c r="B566" s="7" t="s">
        <v>242</v>
      </c>
      <c r="C566" s="231"/>
      <c r="D566" s="67"/>
      <c r="E566" s="67"/>
      <c r="F566"/>
      <c r="G566"/>
      <c r="I566" s="10" t="s">
        <v>0</v>
      </c>
      <c r="J566" s="10" t="s">
        <v>2</v>
      </c>
      <c r="K566" s="59" t="e">
        <f>C561*D576</f>
        <v>#N/A</v>
      </c>
      <c r="L566" s="59">
        <f>C561*F576</f>
        <v>0</v>
      </c>
      <c r="M566" s="2"/>
    </row>
    <row r="567" spans="2:14" hidden="1" outlineLevel="1" x14ac:dyDescent="0.25">
      <c r="I567" s="7" t="s">
        <v>24</v>
      </c>
      <c r="J567" s="10" t="s">
        <v>2</v>
      </c>
      <c r="K567" s="59" t="e">
        <f>IF(E577&gt;0,E577,D577)*C561</f>
        <v>#N/A</v>
      </c>
      <c r="L567" s="59">
        <f>C561*F577</f>
        <v>0</v>
      </c>
    </row>
    <row r="568" spans="2:14" hidden="1" outlineLevel="1" x14ac:dyDescent="0.25">
      <c r="B568" s="6" t="s">
        <v>14</v>
      </c>
      <c r="C568" s="6"/>
      <c r="D568" s="6"/>
      <c r="E568" s="6"/>
      <c r="F568" s="6"/>
      <c r="G568" s="6"/>
      <c r="I568" s="7" t="s">
        <v>29</v>
      </c>
      <c r="J568" s="10" t="s">
        <v>2</v>
      </c>
      <c r="K568" s="59" t="e">
        <f>$C561*$C563*(1/100)*IF(E571&gt;0,E571,D571)*D586</f>
        <v>#N/A</v>
      </c>
      <c r="L568" s="59" t="e">
        <f>C561*C563*(1/100)*F570*G586+IFERROR(C561*C563*(1/100)*IF(G572&gt;0,G572,F572)*F586,0)</f>
        <v>#VALUE!</v>
      </c>
    </row>
    <row r="569" spans="2:14" hidden="1" outlineLevel="1" x14ac:dyDescent="0.25">
      <c r="B569" s="9" t="s">
        <v>15</v>
      </c>
      <c r="C569" s="9" t="s">
        <v>16</v>
      </c>
      <c r="D569" s="627" t="s">
        <v>1</v>
      </c>
      <c r="E569" s="627"/>
      <c r="F569" s="636" t="s">
        <v>4</v>
      </c>
      <c r="G569" s="636"/>
      <c r="I569" s="7" t="s">
        <v>23</v>
      </c>
      <c r="J569" s="10" t="s">
        <v>2</v>
      </c>
      <c r="K569" s="60">
        <f>IFERROR(C561*D578,0)+D579</f>
        <v>0</v>
      </c>
      <c r="L569" s="60">
        <f>IFERROR(C561*F578,0)+F579</f>
        <v>0</v>
      </c>
    </row>
    <row r="570" spans="2:14" hidden="1" outlineLevel="1" x14ac:dyDescent="0.25">
      <c r="B570" s="7" t="s">
        <v>18</v>
      </c>
      <c r="C570" s="7" t="s">
        <v>5</v>
      </c>
      <c r="D570" s="615" t="s">
        <v>6</v>
      </c>
      <c r="E570" s="616"/>
      <c r="F570" s="617" t="str">
        <f>IF(Hypothèses!G25&gt;0,Hypothèses!G25,Hypothèses!E25)</f>
        <v/>
      </c>
      <c r="G570" s="617"/>
      <c r="I570" s="13" t="s">
        <v>8</v>
      </c>
      <c r="J570" s="14"/>
      <c r="K570" s="15" t="e">
        <f>K561+K565</f>
        <v>#N/A</v>
      </c>
      <c r="L570" s="15" t="e">
        <f>L561+L565</f>
        <v>#N/A</v>
      </c>
    </row>
    <row r="571" spans="2:14" hidden="1" outlineLevel="1" x14ac:dyDescent="0.25">
      <c r="B571" s="7" t="s">
        <v>17</v>
      </c>
      <c r="C571" s="7" t="s">
        <v>32</v>
      </c>
      <c r="D571" s="142" t="e">
        <f>VLOOKUP($E556,Sources!$B$53:$D$62,3,FALSE)</f>
        <v>#N/A</v>
      </c>
      <c r="E571" s="234"/>
      <c r="F571" s="617" t="s">
        <v>6</v>
      </c>
      <c r="G571" s="617"/>
      <c r="I571" s="7" t="s">
        <v>27</v>
      </c>
      <c r="J571" s="10" t="s">
        <v>2</v>
      </c>
      <c r="K571" s="621" t="e">
        <f>L570-K570</f>
        <v>#N/A</v>
      </c>
      <c r="L571" s="621"/>
    </row>
    <row r="572" spans="2:14" hidden="1" outlineLevel="1" x14ac:dyDescent="0.25">
      <c r="B572" s="7" t="s">
        <v>123</v>
      </c>
      <c r="C572" s="7" t="s">
        <v>7</v>
      </c>
      <c r="D572" s="615" t="s">
        <v>6</v>
      </c>
      <c r="E572" s="616"/>
      <c r="F572" s="144" t="e">
        <f>VLOOKUP(E556,Sources!$B$53:$D$62,2,FALSE)</f>
        <v>#N/A</v>
      </c>
      <c r="G572" s="235"/>
      <c r="I572" s="7" t="s">
        <v>27</v>
      </c>
      <c r="J572" s="10" t="s">
        <v>9</v>
      </c>
      <c r="K572" s="622">
        <f>IFERROR(K571/K570,0)</f>
        <v>0</v>
      </c>
      <c r="L572" s="622"/>
    </row>
    <row r="573" spans="2:14" hidden="1" outlineLevel="1" x14ac:dyDescent="0.25">
      <c r="B573" s="8" t="s">
        <v>19</v>
      </c>
      <c r="C573" s="10" t="s">
        <v>2</v>
      </c>
      <c r="D573" s="232" t="e">
        <f>VLOOKUP($E556,Sources!$B$14:$D$23,2,FALSE)</f>
        <v>#N/A</v>
      </c>
      <c r="E573" s="236"/>
      <c r="F573" s="232" t="e">
        <f>VLOOKUP($E556,Sources!$B$14:$D$23,3,FALSE)</f>
        <v>#N/A</v>
      </c>
      <c r="G573" s="236"/>
      <c r="I573" s="7" t="s">
        <v>27</v>
      </c>
      <c r="J573" s="16" t="s">
        <v>28</v>
      </c>
      <c r="K573" s="623">
        <f>IFERROR((L570-K570)/(C561*C563),0)</f>
        <v>0</v>
      </c>
      <c r="L573" s="623"/>
    </row>
    <row r="574" spans="2:14" hidden="1" outlineLevel="1" x14ac:dyDescent="0.25">
      <c r="B574" s="16" t="s">
        <v>20</v>
      </c>
      <c r="C574" s="81" t="s">
        <v>9</v>
      </c>
      <c r="D574" s="624" t="e">
        <f>IF(OR($C561&gt;VLOOKUP($E556,Sources!$B$82:$G$91,6,FALSE),$C561*$C563&gt;VLOOKUP($E556,Sources!$B$96:$G$105,6,FALSE)),0,MIN(VLOOKUP($E556,Sources!$B$82:$F$91,2,FALSE)*$C561^3+VLOOKUP($E556,Sources!$B$82:$F$91,3,FALSE)*$C561^2+VLOOKUP($E556,Sources!$B$82:$F$91,4,FALSE)*$C561+VLOOKUP($E556,Sources!$B$82:$F$91,5,FALSE),VLOOKUP($E556,Sources!$B$96:$F$105,2,FALSE)*($C561*$C563)^3+VLOOKUP($E556,Sources!$B$96:$F$105,3,FALSE)*($C561*$C563)^2+VLOOKUP($E556,Sources!$B$96:$F$105,4,FALSE)*$C561*$C563+VLOOKUP($E556,Sources!$B$96:$F$105,5,FALSE)))</f>
        <v>#N/A</v>
      </c>
      <c r="E574" s="625"/>
      <c r="F574" s="626" t="e">
        <f>IF(OR($C561&gt;VLOOKUP($E556,Sources!$B$82:$G$91,6,FALSE),$C561*$C563&gt;VLOOKUP($E556,Sources!$B$96:$G$105,6,FALSE)),0,(1-Sources!$D$77)*MIN(VLOOKUP($E556,Sources!$B$82:$F$91,2,FALSE)*$C561^3+VLOOKUP($E556,Sources!$B$82:$F$91,3,FALSE)*$C561^2+VLOOKUP($E556,Sources!$B$82:$F$91,4,FALSE)*$C561+VLOOKUP($E556,Sources!$B$82:$F$91,5,FALSE),VLOOKUP($E556,Sources!$B$96:$F$105,2,FALSE)*($C561*$C563)^3+VLOOKUP($E556,Sources!$B$96:$F$105,3,FALSE)*($C561*$C563)^2+VLOOKUP($E556,Sources!$B$96:$F$105,4,FALSE)*$C561*$C563+VLOOKUP($E556,Sources!$B$96:$F$105,5,FALSE)))</f>
        <v>#N/A</v>
      </c>
      <c r="G574" s="626"/>
      <c r="I574"/>
      <c r="K574" s="3"/>
      <c r="M574" s="3"/>
      <c r="N574" s="3"/>
    </row>
    <row r="575" spans="2:14" hidden="1" outlineLevel="1" x14ac:dyDescent="0.25">
      <c r="B575" s="7" t="s">
        <v>0</v>
      </c>
      <c r="C575" s="7" t="s">
        <v>43</v>
      </c>
      <c r="D575" s="143" t="e">
        <f>VLOOKUP($E556,Sources!$B$27:$D$36,2,FALSE)</f>
        <v>#N/A</v>
      </c>
      <c r="E575" s="237"/>
      <c r="F575" s="614"/>
      <c r="G575" s="614"/>
      <c r="I575"/>
      <c r="K575" s="3"/>
      <c r="L575" s="3"/>
      <c r="N575" s="3"/>
    </row>
    <row r="576" spans="2:14" hidden="1" outlineLevel="1" x14ac:dyDescent="0.25">
      <c r="B576" s="10" t="s">
        <v>0</v>
      </c>
      <c r="C576" s="7" t="s">
        <v>34</v>
      </c>
      <c r="D576" s="615" t="e">
        <f>IF(E575&gt;0,E575,D575)*C563</f>
        <v>#N/A</v>
      </c>
      <c r="E576" s="616"/>
      <c r="F576" s="617">
        <f>F575*C563</f>
        <v>0</v>
      </c>
      <c r="G576" s="617"/>
      <c r="I576"/>
      <c r="K576" s="3"/>
      <c r="L576" s="3"/>
      <c r="N576" s="3"/>
    </row>
    <row r="577" spans="1:15" hidden="1" outlineLevel="1" x14ac:dyDescent="0.25">
      <c r="B577" s="7" t="s">
        <v>24</v>
      </c>
      <c r="C577" s="7" t="s">
        <v>34</v>
      </c>
      <c r="D577" s="232" t="e">
        <f>VLOOKUP($E556,Sources!$B$40:$D$49,2,FALSE)</f>
        <v>#N/A</v>
      </c>
      <c r="E577" s="236"/>
      <c r="F577" s="614"/>
      <c r="G577" s="614"/>
      <c r="I577"/>
      <c r="K577" s="3"/>
      <c r="L577" s="3"/>
      <c r="N577" s="3"/>
    </row>
    <row r="578" spans="1:15" hidden="1" outlineLevel="1" x14ac:dyDescent="0.25">
      <c r="B578" s="7" t="s">
        <v>26</v>
      </c>
      <c r="C578" s="7" t="s">
        <v>34</v>
      </c>
      <c r="D578" s="615">
        <v>0</v>
      </c>
      <c r="E578" s="616"/>
      <c r="F578" s="614"/>
      <c r="G578" s="614"/>
      <c r="I578"/>
      <c r="J578"/>
      <c r="K578" s="3"/>
      <c r="L578" s="3"/>
      <c r="N578" s="3"/>
    </row>
    <row r="579" spans="1:15" hidden="1" outlineLevel="1" x14ac:dyDescent="0.25">
      <c r="B579" s="7" t="s">
        <v>209</v>
      </c>
      <c r="C579" s="7" t="s">
        <v>2</v>
      </c>
      <c r="D579" s="618"/>
      <c r="E579" s="619"/>
      <c r="F579" s="614"/>
      <c r="G579" s="614"/>
      <c r="I579"/>
      <c r="J579"/>
      <c r="K579" s="3"/>
      <c r="L579" s="3"/>
      <c r="N579" s="3"/>
    </row>
    <row r="580" spans="1:15" hidden="1" outlineLevel="1" x14ac:dyDescent="0.25">
      <c r="B580" s="7" t="s">
        <v>25</v>
      </c>
      <c r="C580" s="10" t="s">
        <v>2</v>
      </c>
      <c r="D580" s="615">
        <v>0</v>
      </c>
      <c r="E580" s="616"/>
      <c r="F580" s="620">
        <f>C566+C565</f>
        <v>0</v>
      </c>
      <c r="G580" s="620"/>
      <c r="I580"/>
      <c r="J580" s="3"/>
      <c r="K580" s="3"/>
      <c r="L580" s="3"/>
      <c r="N580" s="3"/>
    </row>
    <row r="581" spans="1:15" hidden="1" outlineLevel="1" x14ac:dyDescent="0.25">
      <c r="G581"/>
      <c r="H581" s="3"/>
      <c r="I581" s="3"/>
      <c r="J581" s="3"/>
      <c r="L581" s="3"/>
    </row>
    <row r="582" spans="1:15" hidden="1" outlineLevel="1" x14ac:dyDescent="0.25">
      <c r="H582" s="3"/>
      <c r="I582" s="3"/>
      <c r="J582" s="3"/>
      <c r="L582" s="3"/>
    </row>
    <row r="583" spans="1:15" hidden="1" outlineLevel="1" x14ac:dyDescent="0.25">
      <c r="B583" s="6" t="s">
        <v>10</v>
      </c>
      <c r="C583" s="6"/>
      <c r="D583" s="6"/>
      <c r="E583" s="5"/>
      <c r="F583" s="5"/>
      <c r="G583" s="5"/>
      <c r="I583" s="3"/>
      <c r="J583" s="3"/>
      <c r="L583" s="3"/>
    </row>
    <row r="584" spans="1:15" hidden="1" outlineLevel="1" x14ac:dyDescent="0.25">
      <c r="B584" s="9" t="s">
        <v>15</v>
      </c>
      <c r="C584" s="9" t="s">
        <v>16</v>
      </c>
      <c r="D584" s="627" t="s">
        <v>1</v>
      </c>
      <c r="E584" s="627"/>
      <c r="F584" s="203" t="s">
        <v>21</v>
      </c>
      <c r="G584" s="203" t="s">
        <v>4</v>
      </c>
      <c r="J584" s="3"/>
      <c r="K584" s="3"/>
      <c r="M584" s="3"/>
    </row>
    <row r="585" spans="1:15" hidden="1" outlineLevel="1" x14ac:dyDescent="0.25">
      <c r="B585" s="7" t="s">
        <v>236</v>
      </c>
      <c r="C585" s="7" t="s">
        <v>119</v>
      </c>
      <c r="D585" s="612">
        <f>IF(OR(E556=Sources!$B$14,E556=Sources!$B$15,E556=Sources!$B$23,E556=Sources!$B$24),Sources!$D$4,IF(OR(E556=Sources!$B$16,E556=Sources!$B$17,E556=Sources!$B$18),Sources!$D$6,Sources!$D$7))</f>
        <v>1.367</v>
      </c>
      <c r="E585" s="613"/>
      <c r="F585" s="140">
        <f>Sources!$C$8</f>
        <v>0.24</v>
      </c>
      <c r="J585" s="3"/>
      <c r="K585" s="3"/>
      <c r="M585" s="3"/>
    </row>
    <row r="586" spans="1:15" hidden="1" outlineLevel="1" x14ac:dyDescent="0.25">
      <c r="B586" s="7" t="s">
        <v>35</v>
      </c>
      <c r="C586" s="7" t="s">
        <v>119</v>
      </c>
      <c r="D586" s="612" t="e">
        <f>D585*(1+Sources!C$9)^(C560-2020)*(1-(1+Sources!C$9)^C561)/(-Sources!C$9*C561)</f>
        <v>#DIV/0!</v>
      </c>
      <c r="E586" s="613"/>
      <c r="F586" s="140" t="e">
        <f>Sources!C$8*(1+Sources!C$10)^(C560-2019)*(1-(1+Sources!C$10)^C561)/(-Sources!C$10*C561)</f>
        <v>#DIV/0!</v>
      </c>
      <c r="G586" s="140">
        <f>IFERROR(Hypothèses!H25*(1+L$8)^(C560-L$7)*(1-(1+L$8)^C561)/(-L$8*C561),Hypothèses!H25)</f>
        <v>0</v>
      </c>
      <c r="J586" s="3"/>
      <c r="K586" s="3"/>
      <c r="M586" s="3"/>
    </row>
    <row r="587" spans="1:15" collapsed="1" x14ac:dyDescent="0.25">
      <c r="B587" s="17"/>
      <c r="I587" s="3"/>
      <c r="J587" s="3"/>
      <c r="L587" s="3"/>
    </row>
    <row r="588" spans="1:15" s="628" customFormat="1" ht="15" customHeight="1" x14ac:dyDescent="0.3">
      <c r="A588" s="628" t="s">
        <v>220</v>
      </c>
    </row>
    <row r="589" spans="1:15" x14ac:dyDescent="0.25">
      <c r="A589" s="229">
        <f>IF(AND(F609&gt;0,C594&gt;0,IFERROR(K605,0)&gt;0),1,0)</f>
        <v>0</v>
      </c>
      <c r="B589" s="4"/>
    </row>
    <row r="590" spans="1:15" ht="18.75" x14ac:dyDescent="0.3">
      <c r="B590" s="4"/>
      <c r="E590" s="629" t="str">
        <f>IF(Hypothèses!B26&lt;&gt;0,Hypothèses!B26,"")</f>
        <v/>
      </c>
      <c r="F590" s="630"/>
      <c r="G590" s="630"/>
      <c r="H590" s="630"/>
      <c r="I590" s="631"/>
      <c r="O590" s="4"/>
    </row>
    <row r="591" spans="1:15" hidden="1" outlineLevel="1" x14ac:dyDescent="0.25">
      <c r="A591" s="4" t="s">
        <v>54</v>
      </c>
      <c r="B591" s="632" t="s">
        <v>114</v>
      </c>
      <c r="C591" s="632"/>
      <c r="D591" s="632"/>
      <c r="E591" s="633"/>
      <c r="F591" s="634"/>
      <c r="G591" s="634"/>
      <c r="H591" s="634"/>
      <c r="I591" s="635"/>
      <c r="O591" s="4"/>
    </row>
    <row r="592" spans="1:15" hidden="1" outlineLevel="1" x14ac:dyDescent="0.25">
      <c r="O592" s="4"/>
    </row>
    <row r="593" spans="2:17" hidden="1" outlineLevel="1" x14ac:dyDescent="0.25">
      <c r="B593" s="6" t="s">
        <v>13</v>
      </c>
      <c r="C593" s="6"/>
      <c r="D593" s="6"/>
      <c r="E593" s="6"/>
      <c r="F593" s="6"/>
      <c r="G593" s="6"/>
      <c r="I593" s="6" t="s">
        <v>22</v>
      </c>
      <c r="J593" s="6"/>
      <c r="K593" s="6"/>
      <c r="L593" s="6"/>
      <c r="Q593" s="4"/>
    </row>
    <row r="594" spans="2:17" hidden="1" outlineLevel="1" x14ac:dyDescent="0.25">
      <c r="B594" s="7" t="s">
        <v>36</v>
      </c>
      <c r="C594" s="230"/>
      <c r="I594" s="9" t="s">
        <v>15</v>
      </c>
      <c r="J594" s="9" t="s">
        <v>16</v>
      </c>
      <c r="K594" s="9" t="s">
        <v>1</v>
      </c>
      <c r="L594" s="9" t="s">
        <v>4</v>
      </c>
      <c r="Q594" s="4"/>
    </row>
    <row r="595" spans="2:17" hidden="1" outlineLevel="1" x14ac:dyDescent="0.25">
      <c r="B595" s="7" t="s">
        <v>240</v>
      </c>
      <c r="C595" s="231"/>
      <c r="I595" s="11" t="s">
        <v>31</v>
      </c>
      <c r="J595" s="11" t="s">
        <v>2</v>
      </c>
      <c r="K595" s="12" t="e">
        <f>SUM(K596:K598)</f>
        <v>#N/A</v>
      </c>
      <c r="L595" s="12" t="e">
        <f>SUM(L596:L598)</f>
        <v>#N/A</v>
      </c>
    </row>
    <row r="596" spans="2:17" hidden="1" outlineLevel="1" x14ac:dyDescent="0.25">
      <c r="B596" s="7" t="s">
        <v>44</v>
      </c>
      <c r="C596" s="231"/>
      <c r="I596" s="10" t="s">
        <v>3</v>
      </c>
      <c r="J596" s="10" t="s">
        <v>2</v>
      </c>
      <c r="K596" s="59" t="e">
        <f>IF(E607&gt;0,E607,D607)</f>
        <v>#N/A</v>
      </c>
      <c r="L596" s="59" t="e">
        <f>IF(G607&gt;0,G607,F607)</f>
        <v>#N/A</v>
      </c>
      <c r="M596" s="2"/>
    </row>
    <row r="597" spans="2:17" hidden="1" outlineLevel="1" x14ac:dyDescent="0.25">
      <c r="B597" s="7" t="s">
        <v>11</v>
      </c>
      <c r="C597" s="59">
        <f>Hypothèses!C26</f>
        <v>0</v>
      </c>
      <c r="I597" s="7" t="s">
        <v>33</v>
      </c>
      <c r="J597" s="10" t="s">
        <v>2</v>
      </c>
      <c r="K597" s="59">
        <f>-D614</f>
        <v>0</v>
      </c>
      <c r="L597" s="59">
        <f>-F614</f>
        <v>0</v>
      </c>
    </row>
    <row r="598" spans="2:17" hidden="1" outlineLevel="1" x14ac:dyDescent="0.25">
      <c r="B598" s="7" t="s">
        <v>12</v>
      </c>
      <c r="C598" s="59">
        <f>IFERROR(C597/C596,0)</f>
        <v>0</v>
      </c>
      <c r="I598" s="7" t="s">
        <v>20</v>
      </c>
      <c r="J598" s="10" t="s">
        <v>2</v>
      </c>
      <c r="K598" s="59" t="e">
        <f>-D608*K596</f>
        <v>#N/A</v>
      </c>
      <c r="L598" s="59" t="e">
        <f>-F608*L596</f>
        <v>#N/A</v>
      </c>
    </row>
    <row r="599" spans="2:17" hidden="1" outlineLevel="1" x14ac:dyDescent="0.25">
      <c r="B599" s="7" t="s">
        <v>241</v>
      </c>
      <c r="C599" s="231"/>
      <c r="F599"/>
      <c r="G599"/>
      <c r="I599" s="11" t="s">
        <v>30</v>
      </c>
      <c r="J599" s="11" t="s">
        <v>2</v>
      </c>
      <c r="K599" s="12" t="e">
        <f>SUM(K600:K603)</f>
        <v>#N/A</v>
      </c>
      <c r="L599" s="12" t="e">
        <f>SUM(L600:L603)</f>
        <v>#VALUE!</v>
      </c>
    </row>
    <row r="600" spans="2:17" hidden="1" outlineLevel="1" x14ac:dyDescent="0.25">
      <c r="B600" s="7" t="s">
        <v>242</v>
      </c>
      <c r="C600" s="231"/>
      <c r="D600" s="67"/>
      <c r="E600" s="67"/>
      <c r="F600"/>
      <c r="G600"/>
      <c r="I600" s="10" t="s">
        <v>0</v>
      </c>
      <c r="J600" s="10" t="s">
        <v>2</v>
      </c>
      <c r="K600" s="59" t="e">
        <f>C595*D610</f>
        <v>#N/A</v>
      </c>
      <c r="L600" s="59">
        <f>C595*F610</f>
        <v>0</v>
      </c>
      <c r="M600" s="2"/>
    </row>
    <row r="601" spans="2:17" hidden="1" outlineLevel="1" x14ac:dyDescent="0.25">
      <c r="I601" s="7" t="s">
        <v>24</v>
      </c>
      <c r="J601" s="10" t="s">
        <v>2</v>
      </c>
      <c r="K601" s="59" t="e">
        <f>IF(E611&gt;0,E611,D611)*C595</f>
        <v>#N/A</v>
      </c>
      <c r="L601" s="59">
        <f>C595*F611</f>
        <v>0</v>
      </c>
    </row>
    <row r="602" spans="2:17" hidden="1" outlineLevel="1" x14ac:dyDescent="0.25">
      <c r="B602" s="6" t="s">
        <v>14</v>
      </c>
      <c r="C602" s="6"/>
      <c r="D602" s="6"/>
      <c r="E602" s="6"/>
      <c r="F602" s="6"/>
      <c r="G602" s="6"/>
      <c r="I602" s="7" t="s">
        <v>29</v>
      </c>
      <c r="J602" s="10" t="s">
        <v>2</v>
      </c>
      <c r="K602" s="59" t="e">
        <f>$C595*$C597*(1/100)*IF(E605&gt;0,E605,D605)*D620</f>
        <v>#N/A</v>
      </c>
      <c r="L602" s="59" t="e">
        <f>C595*C597*(1/100)*F604*G620+IFERROR(C595*C597*(1/100)*IF(G606&gt;0,G606,F606)*F620,0)</f>
        <v>#VALUE!</v>
      </c>
    </row>
    <row r="603" spans="2:17" hidden="1" outlineLevel="1" x14ac:dyDescent="0.25">
      <c r="B603" s="9" t="s">
        <v>15</v>
      </c>
      <c r="C603" s="9" t="s">
        <v>16</v>
      </c>
      <c r="D603" s="627" t="s">
        <v>1</v>
      </c>
      <c r="E603" s="627"/>
      <c r="F603" s="636" t="s">
        <v>4</v>
      </c>
      <c r="G603" s="636"/>
      <c r="I603" s="7" t="s">
        <v>23</v>
      </c>
      <c r="J603" s="10" t="s">
        <v>2</v>
      </c>
      <c r="K603" s="60">
        <f>IFERROR(C595*D612,0)+D613</f>
        <v>0</v>
      </c>
      <c r="L603" s="60">
        <f>IFERROR(C595*F612,0)+F613</f>
        <v>0</v>
      </c>
    </row>
    <row r="604" spans="2:17" hidden="1" outlineLevel="1" x14ac:dyDescent="0.25">
      <c r="B604" s="7" t="s">
        <v>18</v>
      </c>
      <c r="C604" s="7" t="s">
        <v>5</v>
      </c>
      <c r="D604" s="615" t="s">
        <v>6</v>
      </c>
      <c r="E604" s="616"/>
      <c r="F604" s="617" t="str">
        <f>IF(Hypothèses!G26&gt;0,Hypothèses!G26,Hypothèses!E26)</f>
        <v/>
      </c>
      <c r="G604" s="617"/>
      <c r="I604" s="13" t="s">
        <v>8</v>
      </c>
      <c r="J604" s="14"/>
      <c r="K604" s="15" t="e">
        <f>K595+K599</f>
        <v>#N/A</v>
      </c>
      <c r="L604" s="15" t="e">
        <f>L595+L599</f>
        <v>#N/A</v>
      </c>
    </row>
    <row r="605" spans="2:17" hidden="1" outlineLevel="1" x14ac:dyDescent="0.25">
      <c r="B605" s="7" t="s">
        <v>17</v>
      </c>
      <c r="C605" s="7" t="s">
        <v>32</v>
      </c>
      <c r="D605" s="142" t="e">
        <f>VLOOKUP($E590,Sources!$B$53:$D$62,3,FALSE)</f>
        <v>#N/A</v>
      </c>
      <c r="E605" s="234"/>
      <c r="F605" s="617" t="s">
        <v>6</v>
      </c>
      <c r="G605" s="617"/>
      <c r="I605" s="7" t="s">
        <v>27</v>
      </c>
      <c r="J605" s="10" t="s">
        <v>2</v>
      </c>
      <c r="K605" s="621" t="e">
        <f>L604-K604</f>
        <v>#N/A</v>
      </c>
      <c r="L605" s="621"/>
    </row>
    <row r="606" spans="2:17" hidden="1" outlineLevel="1" x14ac:dyDescent="0.25">
      <c r="B606" s="7" t="s">
        <v>123</v>
      </c>
      <c r="C606" s="7" t="s">
        <v>7</v>
      </c>
      <c r="D606" s="615" t="s">
        <v>6</v>
      </c>
      <c r="E606" s="616"/>
      <c r="F606" s="144" t="e">
        <f>VLOOKUP(E590,Sources!$B$53:$D$62,2,FALSE)</f>
        <v>#N/A</v>
      </c>
      <c r="G606" s="235"/>
      <c r="I606" s="7" t="s">
        <v>27</v>
      </c>
      <c r="J606" s="10" t="s">
        <v>9</v>
      </c>
      <c r="K606" s="622">
        <f>IFERROR(K605/K604,0)</f>
        <v>0</v>
      </c>
      <c r="L606" s="622"/>
    </row>
    <row r="607" spans="2:17" hidden="1" outlineLevel="1" x14ac:dyDescent="0.25">
      <c r="B607" s="8" t="s">
        <v>19</v>
      </c>
      <c r="C607" s="10" t="s">
        <v>2</v>
      </c>
      <c r="D607" s="232" t="e">
        <f>VLOOKUP($E590,Sources!$B$14:$D$23,2,FALSE)</f>
        <v>#N/A</v>
      </c>
      <c r="E607" s="236"/>
      <c r="F607" s="232" t="e">
        <f>VLOOKUP($E590,Sources!$B$14:$D$23,3,FALSE)</f>
        <v>#N/A</v>
      </c>
      <c r="G607" s="236"/>
      <c r="I607" s="7" t="s">
        <v>27</v>
      </c>
      <c r="J607" s="16" t="s">
        <v>28</v>
      </c>
      <c r="K607" s="623">
        <f>IFERROR((L604-K604)/(C595*C597),0)</f>
        <v>0</v>
      </c>
      <c r="L607" s="623"/>
    </row>
    <row r="608" spans="2:17" hidden="1" outlineLevel="1" x14ac:dyDescent="0.25">
      <c r="B608" s="16" t="s">
        <v>20</v>
      </c>
      <c r="C608" s="81" t="s">
        <v>9</v>
      </c>
      <c r="D608" s="624" t="e">
        <f>IF(OR($C595&gt;VLOOKUP($E590,Sources!$B$82:$G$91,6,FALSE),$C595*$C597&gt;VLOOKUP($E590,Sources!$B$96:$G$105,6,FALSE)),0,MIN(VLOOKUP($E590,Sources!$B$82:$F$91,2,FALSE)*$C595^3+VLOOKUP($E590,Sources!$B$82:$F$91,3,FALSE)*$C595^2+VLOOKUP($E590,Sources!$B$82:$F$91,4,FALSE)*$C595+VLOOKUP($E590,Sources!$B$82:$F$91,5,FALSE),VLOOKUP($E590,Sources!$B$96:$F$105,2,FALSE)*($C595*$C597)^3+VLOOKUP($E590,Sources!$B$96:$F$105,3,FALSE)*($C595*$C597)^2+VLOOKUP($E590,Sources!$B$96:$F$105,4,FALSE)*$C595*$C597+VLOOKUP($E590,Sources!$B$96:$F$105,5,FALSE)))</f>
        <v>#N/A</v>
      </c>
      <c r="E608" s="625"/>
      <c r="F608" s="626" t="e">
        <f>IF(OR($C595&gt;VLOOKUP($E590,Sources!$B$82:$G$91,6,FALSE),$C595*$C597&gt;VLOOKUP($E590,Sources!$B$96:$G$105,6,FALSE)),0,(1-Sources!$D$77)*MIN(VLOOKUP($E590,Sources!$B$82:$F$91,2,FALSE)*$C595^3+VLOOKUP($E590,Sources!$B$82:$F$91,3,FALSE)*$C595^2+VLOOKUP($E590,Sources!$B$82:$F$91,4,FALSE)*$C595+VLOOKUP($E590,Sources!$B$82:$F$91,5,FALSE),VLOOKUP($E590,Sources!$B$96:$F$105,2,FALSE)*($C595*$C597)^3+VLOOKUP($E590,Sources!$B$96:$F$105,3,FALSE)*($C595*$C597)^2+VLOOKUP($E590,Sources!$B$96:$F$105,4,FALSE)*$C595*$C597+VLOOKUP($E590,Sources!$B$96:$F$105,5,FALSE)))</f>
        <v>#N/A</v>
      </c>
      <c r="G608" s="626"/>
      <c r="I608"/>
      <c r="K608" s="3"/>
      <c r="M608" s="3"/>
      <c r="N608" s="3"/>
    </row>
    <row r="609" spans="1:15" hidden="1" outlineLevel="1" x14ac:dyDescent="0.25">
      <c r="B609" s="7" t="s">
        <v>0</v>
      </c>
      <c r="C609" s="7" t="s">
        <v>43</v>
      </c>
      <c r="D609" s="143" t="e">
        <f>VLOOKUP($E590,Sources!$B$27:$D$36,2,FALSE)</f>
        <v>#N/A</v>
      </c>
      <c r="E609" s="237"/>
      <c r="F609" s="614"/>
      <c r="G609" s="614"/>
      <c r="I609"/>
      <c r="K609" s="3"/>
      <c r="L609" s="3"/>
      <c r="N609" s="3"/>
    </row>
    <row r="610" spans="1:15" hidden="1" outlineLevel="1" x14ac:dyDescent="0.25">
      <c r="B610" s="10" t="s">
        <v>0</v>
      </c>
      <c r="C610" s="7" t="s">
        <v>34</v>
      </c>
      <c r="D610" s="615" t="e">
        <f>IF(E609&gt;0,E609,D609)*C597</f>
        <v>#N/A</v>
      </c>
      <c r="E610" s="616"/>
      <c r="F610" s="617">
        <f>F609*C597</f>
        <v>0</v>
      </c>
      <c r="G610" s="617"/>
      <c r="I610"/>
      <c r="K610" s="3"/>
      <c r="L610" s="3"/>
      <c r="N610" s="3"/>
    </row>
    <row r="611" spans="1:15" hidden="1" outlineLevel="1" x14ac:dyDescent="0.25">
      <c r="B611" s="7" t="s">
        <v>24</v>
      </c>
      <c r="C611" s="7" t="s">
        <v>34</v>
      </c>
      <c r="D611" s="232" t="e">
        <f>VLOOKUP($E590,Sources!$B$40:$D$49,2,FALSE)</f>
        <v>#N/A</v>
      </c>
      <c r="E611" s="236"/>
      <c r="F611" s="614"/>
      <c r="G611" s="614"/>
      <c r="I611"/>
      <c r="K611" s="3"/>
      <c r="L611" s="3"/>
      <c r="N611" s="3"/>
    </row>
    <row r="612" spans="1:15" hidden="1" outlineLevel="1" x14ac:dyDescent="0.25">
      <c r="B612" s="7" t="s">
        <v>26</v>
      </c>
      <c r="C612" s="7" t="s">
        <v>34</v>
      </c>
      <c r="D612" s="615">
        <v>0</v>
      </c>
      <c r="E612" s="616"/>
      <c r="F612" s="614"/>
      <c r="G612" s="614"/>
      <c r="I612"/>
      <c r="J612"/>
      <c r="K612" s="3"/>
      <c r="L612" s="3"/>
      <c r="N612" s="3"/>
    </row>
    <row r="613" spans="1:15" hidden="1" outlineLevel="1" x14ac:dyDescent="0.25">
      <c r="B613" s="7" t="s">
        <v>209</v>
      </c>
      <c r="C613" s="7" t="s">
        <v>2</v>
      </c>
      <c r="D613" s="618"/>
      <c r="E613" s="619"/>
      <c r="F613" s="614"/>
      <c r="G613" s="614"/>
      <c r="I613"/>
      <c r="J613"/>
      <c r="K613" s="3"/>
      <c r="L613" s="3"/>
      <c r="N613" s="3"/>
    </row>
    <row r="614" spans="1:15" hidden="1" outlineLevel="1" x14ac:dyDescent="0.25">
      <c r="B614" s="7" t="s">
        <v>25</v>
      </c>
      <c r="C614" s="10" t="s">
        <v>2</v>
      </c>
      <c r="D614" s="615">
        <v>0</v>
      </c>
      <c r="E614" s="616"/>
      <c r="F614" s="620">
        <f>C600+C599</f>
        <v>0</v>
      </c>
      <c r="G614" s="620"/>
      <c r="I614"/>
      <c r="J614" s="3"/>
      <c r="K614" s="3"/>
      <c r="L614" s="3"/>
      <c r="N614" s="3"/>
    </row>
    <row r="615" spans="1:15" hidden="1" outlineLevel="1" x14ac:dyDescent="0.25">
      <c r="G615"/>
      <c r="H615" s="3"/>
      <c r="I615" s="3"/>
      <c r="J615" s="3"/>
      <c r="L615" s="3"/>
    </row>
    <row r="616" spans="1:15" hidden="1" outlineLevel="1" x14ac:dyDescent="0.25">
      <c r="H616" s="3"/>
      <c r="I616" s="3"/>
      <c r="J616" s="3"/>
      <c r="L616" s="3"/>
    </row>
    <row r="617" spans="1:15" hidden="1" outlineLevel="1" x14ac:dyDescent="0.25">
      <c r="B617" s="6" t="s">
        <v>10</v>
      </c>
      <c r="C617" s="6"/>
      <c r="D617" s="6"/>
      <c r="E617" s="5"/>
      <c r="F617" s="5"/>
      <c r="G617" s="5"/>
      <c r="I617" s="3"/>
      <c r="J617" s="3"/>
      <c r="L617" s="3"/>
    </row>
    <row r="618" spans="1:15" hidden="1" outlineLevel="1" x14ac:dyDescent="0.25">
      <c r="B618" s="9" t="s">
        <v>15</v>
      </c>
      <c r="C618" s="9" t="s">
        <v>16</v>
      </c>
      <c r="D618" s="627" t="s">
        <v>1</v>
      </c>
      <c r="E618" s="627"/>
      <c r="F618" s="203" t="s">
        <v>21</v>
      </c>
      <c r="G618" s="203" t="s">
        <v>4</v>
      </c>
      <c r="J618" s="3"/>
      <c r="K618" s="3"/>
      <c r="M618" s="3"/>
    </row>
    <row r="619" spans="1:15" hidden="1" outlineLevel="1" x14ac:dyDescent="0.25">
      <c r="B619" s="7" t="s">
        <v>236</v>
      </c>
      <c r="C619" s="7" t="s">
        <v>119</v>
      </c>
      <c r="D619" s="612">
        <f>IF(OR(E590=Sources!$B$14,E590=Sources!$B$15,E590=Sources!$B$23,E590=Sources!$B$24),Sources!$D$4,IF(OR(E590=Sources!$B$16,E590=Sources!$B$17,E590=Sources!$B$18),Sources!$D$6,Sources!$D$7))</f>
        <v>1.367</v>
      </c>
      <c r="E619" s="613"/>
      <c r="F619" s="140">
        <f>Sources!$C$8</f>
        <v>0.24</v>
      </c>
      <c r="J619" s="3"/>
      <c r="K619" s="3"/>
      <c r="M619" s="3"/>
    </row>
    <row r="620" spans="1:15" hidden="1" outlineLevel="1" x14ac:dyDescent="0.25">
      <c r="B620" s="7" t="s">
        <v>35</v>
      </c>
      <c r="C620" s="7" t="s">
        <v>119</v>
      </c>
      <c r="D620" s="612" t="e">
        <f>D619*(1+Sources!C$9)^(C594-2020)*(1-(1+Sources!C$9)^C595)/(-Sources!C$9*C595)</f>
        <v>#DIV/0!</v>
      </c>
      <c r="E620" s="613"/>
      <c r="F620" s="140" t="e">
        <f>Sources!C$8*(1+Sources!C$10)^(C594-2019)*(1-(1+Sources!C$10)^C595)/(-Sources!C$10*C595)</f>
        <v>#DIV/0!</v>
      </c>
      <c r="G620" s="140">
        <f>IFERROR(Hypothèses!H26*(1+L$8)^(C594-L$7)*(1-(1+L$8)^C595)/(-L$8*C595),Hypothèses!H26)</f>
        <v>0</v>
      </c>
      <c r="J620" s="3"/>
      <c r="K620" s="3"/>
      <c r="M620" s="3"/>
    </row>
    <row r="621" spans="1:15" collapsed="1" x14ac:dyDescent="0.25">
      <c r="B621" s="17"/>
      <c r="I621" s="3"/>
      <c r="J621" s="3"/>
      <c r="L621" s="3"/>
    </row>
    <row r="622" spans="1:15" s="628" customFormat="1" ht="15" customHeight="1" x14ac:dyDescent="0.3">
      <c r="A622" s="628" t="s">
        <v>221</v>
      </c>
    </row>
    <row r="623" spans="1:15" x14ac:dyDescent="0.25">
      <c r="A623" s="229">
        <f>IF(AND(F643&gt;0,C628&gt;0,IFERROR(K639,0)&gt;0),1,0)</f>
        <v>0</v>
      </c>
      <c r="B623" s="4"/>
    </row>
    <row r="624" spans="1:15" ht="18.75" x14ac:dyDescent="0.3">
      <c r="B624" s="4"/>
      <c r="E624" s="629" t="str">
        <f>IF(Hypothèses!B27&lt;&gt;0,Hypothèses!B27,"")</f>
        <v/>
      </c>
      <c r="F624" s="630"/>
      <c r="G624" s="630"/>
      <c r="H624" s="630"/>
      <c r="I624" s="631"/>
      <c r="O624" s="4"/>
    </row>
    <row r="625" spans="1:17" hidden="1" outlineLevel="1" x14ac:dyDescent="0.25">
      <c r="A625" s="4" t="s">
        <v>54</v>
      </c>
      <c r="B625" s="632" t="s">
        <v>114</v>
      </c>
      <c r="C625" s="632"/>
      <c r="D625" s="632"/>
      <c r="E625" s="633"/>
      <c r="F625" s="634"/>
      <c r="G625" s="634"/>
      <c r="H625" s="634"/>
      <c r="I625" s="635"/>
      <c r="O625" s="4"/>
    </row>
    <row r="626" spans="1:17" hidden="1" outlineLevel="1" x14ac:dyDescent="0.25">
      <c r="O626" s="4"/>
    </row>
    <row r="627" spans="1:17" hidden="1" outlineLevel="1" x14ac:dyDescent="0.25">
      <c r="B627" s="6" t="s">
        <v>13</v>
      </c>
      <c r="C627" s="6"/>
      <c r="D627" s="6"/>
      <c r="E627" s="6"/>
      <c r="F627" s="6"/>
      <c r="G627" s="6"/>
      <c r="I627" s="6" t="s">
        <v>22</v>
      </c>
      <c r="J627" s="6"/>
      <c r="K627" s="6"/>
      <c r="L627" s="6"/>
      <c r="Q627" s="4"/>
    </row>
    <row r="628" spans="1:17" hidden="1" outlineLevel="1" x14ac:dyDescent="0.25">
      <c r="B628" s="7" t="s">
        <v>36</v>
      </c>
      <c r="C628" s="230"/>
      <c r="I628" s="9" t="s">
        <v>15</v>
      </c>
      <c r="J628" s="9" t="s">
        <v>16</v>
      </c>
      <c r="K628" s="9" t="s">
        <v>1</v>
      </c>
      <c r="L628" s="9" t="s">
        <v>4</v>
      </c>
      <c r="Q628" s="4"/>
    </row>
    <row r="629" spans="1:17" hidden="1" outlineLevel="1" x14ac:dyDescent="0.25">
      <c r="B629" s="7" t="s">
        <v>240</v>
      </c>
      <c r="C629" s="231"/>
      <c r="I629" s="11" t="s">
        <v>31</v>
      </c>
      <c r="J629" s="11" t="s">
        <v>2</v>
      </c>
      <c r="K629" s="12" t="e">
        <f>SUM(K630:K632)</f>
        <v>#N/A</v>
      </c>
      <c r="L629" s="12" t="e">
        <f>SUM(L630:L632)</f>
        <v>#N/A</v>
      </c>
    </row>
    <row r="630" spans="1:17" hidden="1" outlineLevel="1" x14ac:dyDescent="0.25">
      <c r="B630" s="7" t="s">
        <v>44</v>
      </c>
      <c r="C630" s="231"/>
      <c r="I630" s="10" t="s">
        <v>3</v>
      </c>
      <c r="J630" s="10" t="s">
        <v>2</v>
      </c>
      <c r="K630" s="59" t="e">
        <f>IF(E641&gt;0,E641,D641)</f>
        <v>#N/A</v>
      </c>
      <c r="L630" s="59" t="e">
        <f>IF(G641&gt;0,G641,F641)</f>
        <v>#N/A</v>
      </c>
      <c r="M630" s="2"/>
    </row>
    <row r="631" spans="1:17" hidden="1" outlineLevel="1" x14ac:dyDescent="0.25">
      <c r="B631" s="7" t="s">
        <v>11</v>
      </c>
      <c r="C631" s="59">
        <f>Hypothèses!C27</f>
        <v>0</v>
      </c>
      <c r="I631" s="7" t="s">
        <v>33</v>
      </c>
      <c r="J631" s="10" t="s">
        <v>2</v>
      </c>
      <c r="K631" s="59">
        <f>-D648</f>
        <v>0</v>
      </c>
      <c r="L631" s="59">
        <f>-F648</f>
        <v>0</v>
      </c>
    </row>
    <row r="632" spans="1:17" hidden="1" outlineLevel="1" x14ac:dyDescent="0.25">
      <c r="B632" s="7" t="s">
        <v>12</v>
      </c>
      <c r="C632" s="59">
        <f>IFERROR(C631/C630,0)</f>
        <v>0</v>
      </c>
      <c r="I632" s="7" t="s">
        <v>20</v>
      </c>
      <c r="J632" s="10" t="s">
        <v>2</v>
      </c>
      <c r="K632" s="59" t="e">
        <f>-D642*K630</f>
        <v>#N/A</v>
      </c>
      <c r="L632" s="59" t="e">
        <f>-F642*L630</f>
        <v>#N/A</v>
      </c>
    </row>
    <row r="633" spans="1:17" hidden="1" outlineLevel="1" x14ac:dyDescent="0.25">
      <c r="B633" s="7" t="s">
        <v>241</v>
      </c>
      <c r="C633" s="231"/>
      <c r="F633"/>
      <c r="G633"/>
      <c r="I633" s="11" t="s">
        <v>30</v>
      </c>
      <c r="J633" s="11" t="s">
        <v>2</v>
      </c>
      <c r="K633" s="12" t="e">
        <f>SUM(K634:K637)</f>
        <v>#N/A</v>
      </c>
      <c r="L633" s="12" t="e">
        <f>SUM(L634:L637)</f>
        <v>#VALUE!</v>
      </c>
    </row>
    <row r="634" spans="1:17" hidden="1" outlineLevel="1" x14ac:dyDescent="0.25">
      <c r="B634" s="7" t="s">
        <v>242</v>
      </c>
      <c r="C634" s="231"/>
      <c r="D634" s="67"/>
      <c r="E634" s="67"/>
      <c r="F634"/>
      <c r="G634"/>
      <c r="I634" s="10" t="s">
        <v>0</v>
      </c>
      <c r="J634" s="10" t="s">
        <v>2</v>
      </c>
      <c r="K634" s="59" t="e">
        <f>C629*D644</f>
        <v>#N/A</v>
      </c>
      <c r="L634" s="59">
        <f>C629*F644</f>
        <v>0</v>
      </c>
      <c r="M634" s="2"/>
    </row>
    <row r="635" spans="1:17" hidden="1" outlineLevel="1" x14ac:dyDescent="0.25">
      <c r="I635" s="7" t="s">
        <v>24</v>
      </c>
      <c r="J635" s="10" t="s">
        <v>2</v>
      </c>
      <c r="K635" s="59" t="e">
        <f>IF(E645&gt;0,E645,D645)*C629</f>
        <v>#N/A</v>
      </c>
      <c r="L635" s="59">
        <f>C629*F645</f>
        <v>0</v>
      </c>
    </row>
    <row r="636" spans="1:17" hidden="1" outlineLevel="1" x14ac:dyDescent="0.25">
      <c r="B636" s="6" t="s">
        <v>14</v>
      </c>
      <c r="C636" s="6"/>
      <c r="D636" s="6"/>
      <c r="E636" s="6"/>
      <c r="F636" s="6"/>
      <c r="G636" s="6"/>
      <c r="I636" s="7" t="s">
        <v>29</v>
      </c>
      <c r="J636" s="10" t="s">
        <v>2</v>
      </c>
      <c r="K636" s="59" t="e">
        <f>$C629*$C631*(1/100)*IF(E639&gt;0,E639,D639)*D654</f>
        <v>#N/A</v>
      </c>
      <c r="L636" s="59" t="e">
        <f>C629*C631*(1/100)*F638*G654+IFERROR(C629*C631*(1/100)*IF(G640&gt;0,G640,F640)*F654,0)</f>
        <v>#VALUE!</v>
      </c>
    </row>
    <row r="637" spans="1:17" hidden="1" outlineLevel="1" x14ac:dyDescent="0.25">
      <c r="B637" s="9" t="s">
        <v>15</v>
      </c>
      <c r="C637" s="9" t="s">
        <v>16</v>
      </c>
      <c r="D637" s="627" t="s">
        <v>1</v>
      </c>
      <c r="E637" s="627"/>
      <c r="F637" s="636" t="s">
        <v>4</v>
      </c>
      <c r="G637" s="636"/>
      <c r="I637" s="7" t="s">
        <v>23</v>
      </c>
      <c r="J637" s="10" t="s">
        <v>2</v>
      </c>
      <c r="K637" s="60">
        <f>IFERROR(C629*D646,0)+D647</f>
        <v>0</v>
      </c>
      <c r="L637" s="60">
        <f>IFERROR(C629*F646,0)+F647</f>
        <v>0</v>
      </c>
    </row>
    <row r="638" spans="1:17" hidden="1" outlineLevel="1" x14ac:dyDescent="0.25">
      <c r="B638" s="7" t="s">
        <v>18</v>
      </c>
      <c r="C638" s="7" t="s">
        <v>5</v>
      </c>
      <c r="D638" s="615" t="s">
        <v>6</v>
      </c>
      <c r="E638" s="616"/>
      <c r="F638" s="617" t="str">
        <f>IF(Hypothèses!G27&gt;0,Hypothèses!G27,Hypothèses!E27)</f>
        <v/>
      </c>
      <c r="G638" s="617"/>
      <c r="I638" s="13" t="s">
        <v>8</v>
      </c>
      <c r="J638" s="14"/>
      <c r="K638" s="15" t="e">
        <f>K629+K633</f>
        <v>#N/A</v>
      </c>
      <c r="L638" s="15" t="e">
        <f>L629+L633</f>
        <v>#N/A</v>
      </c>
    </row>
    <row r="639" spans="1:17" hidden="1" outlineLevel="1" x14ac:dyDescent="0.25">
      <c r="B639" s="7" t="s">
        <v>17</v>
      </c>
      <c r="C639" s="7" t="s">
        <v>32</v>
      </c>
      <c r="D639" s="142" t="e">
        <f>VLOOKUP($E624,Sources!$B$53:$D$62,3,FALSE)</f>
        <v>#N/A</v>
      </c>
      <c r="E639" s="234"/>
      <c r="F639" s="617" t="s">
        <v>6</v>
      </c>
      <c r="G639" s="617"/>
      <c r="I639" s="7" t="s">
        <v>27</v>
      </c>
      <c r="J639" s="10" t="s">
        <v>2</v>
      </c>
      <c r="K639" s="621" t="e">
        <f>L638-K638</f>
        <v>#N/A</v>
      </c>
      <c r="L639" s="621"/>
    </row>
    <row r="640" spans="1:17" hidden="1" outlineLevel="1" x14ac:dyDescent="0.25">
      <c r="B640" s="7" t="s">
        <v>123</v>
      </c>
      <c r="C640" s="7" t="s">
        <v>7</v>
      </c>
      <c r="D640" s="615" t="s">
        <v>6</v>
      </c>
      <c r="E640" s="616"/>
      <c r="F640" s="144" t="e">
        <f>VLOOKUP(E624,Sources!$B$53:$D$62,2,FALSE)</f>
        <v>#N/A</v>
      </c>
      <c r="G640" s="235"/>
      <c r="I640" s="7" t="s">
        <v>27</v>
      </c>
      <c r="J640" s="10" t="s">
        <v>9</v>
      </c>
      <c r="K640" s="622">
        <f>IFERROR(K639/K638,0)</f>
        <v>0</v>
      </c>
      <c r="L640" s="622"/>
    </row>
    <row r="641" spans="1:14" hidden="1" outlineLevel="1" x14ac:dyDescent="0.25">
      <c r="B641" s="8" t="s">
        <v>19</v>
      </c>
      <c r="C641" s="10" t="s">
        <v>2</v>
      </c>
      <c r="D641" s="232" t="e">
        <f>VLOOKUP($E624,Sources!$B$14:$D$23,2,FALSE)</f>
        <v>#N/A</v>
      </c>
      <c r="E641" s="236"/>
      <c r="F641" s="232" t="e">
        <f>VLOOKUP($E624,Sources!$B$14:$D$23,3,FALSE)</f>
        <v>#N/A</v>
      </c>
      <c r="G641" s="236"/>
      <c r="I641" s="7" t="s">
        <v>27</v>
      </c>
      <c r="J641" s="16" t="s">
        <v>28</v>
      </c>
      <c r="K641" s="623">
        <f>IFERROR((L638-K638)/(C629*C631),0)</f>
        <v>0</v>
      </c>
      <c r="L641" s="623"/>
    </row>
    <row r="642" spans="1:14" hidden="1" outlineLevel="1" x14ac:dyDescent="0.25">
      <c r="B642" s="16" t="s">
        <v>20</v>
      </c>
      <c r="C642" s="81" t="s">
        <v>9</v>
      </c>
      <c r="D642" s="624" t="e">
        <f>IF(OR($C629&gt;VLOOKUP($E624,Sources!$B$82:$G$91,6,FALSE),$C629*$C631&gt;VLOOKUP($E624,Sources!$B$96:$G$105,6,FALSE)),0,MIN(VLOOKUP($E624,Sources!$B$82:$F$91,2,FALSE)*$C629^3+VLOOKUP($E624,Sources!$B$82:$F$91,3,FALSE)*$C629^2+VLOOKUP($E624,Sources!$B$82:$F$91,4,FALSE)*$C629+VLOOKUP($E624,Sources!$B$82:$F$91,5,FALSE),VLOOKUP($E624,Sources!$B$96:$F$105,2,FALSE)*($C629*$C631)^3+VLOOKUP($E624,Sources!$B$96:$F$105,3,FALSE)*($C629*$C631)^2+VLOOKUP($E624,Sources!$B$96:$F$105,4,FALSE)*$C629*$C631+VLOOKUP($E624,Sources!$B$96:$F$105,5,FALSE)))</f>
        <v>#N/A</v>
      </c>
      <c r="E642" s="625"/>
      <c r="F642" s="626" t="e">
        <f>IF(OR($C629&gt;VLOOKUP($E624,Sources!$B$82:$G$91,6,FALSE),$C629*$C631&gt;VLOOKUP($E624,Sources!$B$96:$G$105,6,FALSE)),0,(1-Sources!$D$77)*MIN(VLOOKUP($E624,Sources!$B$82:$F$91,2,FALSE)*$C629^3+VLOOKUP($E624,Sources!$B$82:$F$91,3,FALSE)*$C629^2+VLOOKUP($E624,Sources!$B$82:$F$91,4,FALSE)*$C629+VLOOKUP($E624,Sources!$B$82:$F$91,5,FALSE),VLOOKUP($E624,Sources!$B$96:$F$105,2,FALSE)*($C629*$C631)^3+VLOOKUP($E624,Sources!$B$96:$F$105,3,FALSE)*($C629*$C631)^2+VLOOKUP($E624,Sources!$B$96:$F$105,4,FALSE)*$C629*$C631+VLOOKUP($E624,Sources!$B$96:$F$105,5,FALSE)))</f>
        <v>#N/A</v>
      </c>
      <c r="G642" s="626"/>
      <c r="I642"/>
      <c r="K642" s="3"/>
      <c r="M642" s="3"/>
      <c r="N642" s="3"/>
    </row>
    <row r="643" spans="1:14" hidden="1" outlineLevel="1" x14ac:dyDescent="0.25">
      <c r="B643" s="7" t="s">
        <v>0</v>
      </c>
      <c r="C643" s="7" t="s">
        <v>43</v>
      </c>
      <c r="D643" s="143" t="e">
        <f>VLOOKUP($E624,Sources!$B$27:$D$36,2,FALSE)</f>
        <v>#N/A</v>
      </c>
      <c r="E643" s="237"/>
      <c r="F643" s="614"/>
      <c r="G643" s="614"/>
      <c r="I643"/>
      <c r="K643" s="3"/>
      <c r="L643" s="3"/>
      <c r="N643" s="3"/>
    </row>
    <row r="644" spans="1:14" hidden="1" outlineLevel="1" x14ac:dyDescent="0.25">
      <c r="B644" s="10" t="s">
        <v>0</v>
      </c>
      <c r="C644" s="7" t="s">
        <v>34</v>
      </c>
      <c r="D644" s="615" t="e">
        <f>IF(E643&gt;0,E643,D643)*C631</f>
        <v>#N/A</v>
      </c>
      <c r="E644" s="616"/>
      <c r="F644" s="617">
        <f>F643*C631</f>
        <v>0</v>
      </c>
      <c r="G644" s="617"/>
      <c r="I644"/>
      <c r="K644" s="3"/>
      <c r="L644" s="3"/>
      <c r="N644" s="3"/>
    </row>
    <row r="645" spans="1:14" hidden="1" outlineLevel="1" x14ac:dyDescent="0.25">
      <c r="B645" s="7" t="s">
        <v>24</v>
      </c>
      <c r="C645" s="7" t="s">
        <v>34</v>
      </c>
      <c r="D645" s="232" t="e">
        <f>VLOOKUP($E624,Sources!$B$40:$D$49,2,FALSE)</f>
        <v>#N/A</v>
      </c>
      <c r="E645" s="236"/>
      <c r="F645" s="614"/>
      <c r="G645" s="614"/>
      <c r="I645"/>
      <c r="K645" s="3"/>
      <c r="L645" s="3"/>
      <c r="N645" s="3"/>
    </row>
    <row r="646" spans="1:14" hidden="1" outlineLevel="1" x14ac:dyDescent="0.25">
      <c r="B646" s="7" t="s">
        <v>26</v>
      </c>
      <c r="C646" s="7" t="s">
        <v>34</v>
      </c>
      <c r="D646" s="615">
        <v>0</v>
      </c>
      <c r="E646" s="616"/>
      <c r="F646" s="614"/>
      <c r="G646" s="614"/>
      <c r="I646"/>
      <c r="J646"/>
      <c r="K646" s="3"/>
      <c r="L646" s="3"/>
      <c r="N646" s="3"/>
    </row>
    <row r="647" spans="1:14" hidden="1" outlineLevel="1" x14ac:dyDescent="0.25">
      <c r="B647" s="7" t="s">
        <v>209</v>
      </c>
      <c r="C647" s="7" t="s">
        <v>2</v>
      </c>
      <c r="D647" s="618"/>
      <c r="E647" s="619"/>
      <c r="F647" s="614"/>
      <c r="G647" s="614"/>
      <c r="I647"/>
      <c r="J647"/>
      <c r="K647" s="3"/>
      <c r="L647" s="3"/>
      <c r="N647" s="3"/>
    </row>
    <row r="648" spans="1:14" hidden="1" outlineLevel="1" x14ac:dyDescent="0.25">
      <c r="B648" s="7" t="s">
        <v>25</v>
      </c>
      <c r="C648" s="10" t="s">
        <v>2</v>
      </c>
      <c r="D648" s="615">
        <v>0</v>
      </c>
      <c r="E648" s="616"/>
      <c r="F648" s="620">
        <f>C634+C633</f>
        <v>0</v>
      </c>
      <c r="G648" s="620"/>
      <c r="I648"/>
      <c r="J648" s="3"/>
      <c r="K648" s="3"/>
      <c r="L648" s="3"/>
      <c r="N648" s="3"/>
    </row>
    <row r="649" spans="1:14" hidden="1" outlineLevel="1" x14ac:dyDescent="0.25">
      <c r="G649"/>
      <c r="H649" s="3"/>
      <c r="I649" s="3"/>
      <c r="J649" s="3"/>
      <c r="L649" s="3"/>
    </row>
    <row r="650" spans="1:14" hidden="1" outlineLevel="1" x14ac:dyDescent="0.25">
      <c r="H650" s="3"/>
      <c r="I650" s="3"/>
      <c r="J650" s="3"/>
      <c r="L650" s="3"/>
    </row>
    <row r="651" spans="1:14" hidden="1" outlineLevel="1" x14ac:dyDescent="0.25">
      <c r="B651" s="6" t="s">
        <v>10</v>
      </c>
      <c r="C651" s="6"/>
      <c r="D651" s="6"/>
      <c r="E651" s="5"/>
      <c r="F651" s="5"/>
      <c r="G651" s="5"/>
      <c r="I651" s="3"/>
      <c r="J651" s="3"/>
      <c r="L651" s="3"/>
    </row>
    <row r="652" spans="1:14" hidden="1" outlineLevel="1" x14ac:dyDescent="0.25">
      <c r="B652" s="9" t="s">
        <v>15</v>
      </c>
      <c r="C652" s="9" t="s">
        <v>16</v>
      </c>
      <c r="D652" s="627" t="s">
        <v>1</v>
      </c>
      <c r="E652" s="627"/>
      <c r="F652" s="203" t="s">
        <v>21</v>
      </c>
      <c r="G652" s="203" t="s">
        <v>4</v>
      </c>
      <c r="J652" s="3"/>
      <c r="K652" s="3"/>
      <c r="M652" s="3"/>
    </row>
    <row r="653" spans="1:14" hidden="1" outlineLevel="1" x14ac:dyDescent="0.25">
      <c r="B653" s="7" t="s">
        <v>236</v>
      </c>
      <c r="C653" s="7" t="s">
        <v>119</v>
      </c>
      <c r="D653" s="612">
        <f>IF(OR(E624=Sources!$B$14,E624=Sources!$B$15,E624=Sources!$B$23,E624=Sources!$B$24),Sources!$D$4,IF(OR(E624=Sources!$B$16,E624=Sources!$B$17,E624=Sources!$B$18),Sources!$D$6,Sources!$D$7))</f>
        <v>1.367</v>
      </c>
      <c r="E653" s="613"/>
      <c r="F653" s="140">
        <f>Sources!$C$8</f>
        <v>0.24</v>
      </c>
      <c r="J653" s="3"/>
      <c r="K653" s="3"/>
      <c r="M653" s="3"/>
    </row>
    <row r="654" spans="1:14" hidden="1" outlineLevel="1" x14ac:dyDescent="0.25">
      <c r="B654" s="7" t="s">
        <v>35</v>
      </c>
      <c r="C654" s="7" t="s">
        <v>119</v>
      </c>
      <c r="D654" s="612" t="e">
        <f>D653*(1+Sources!C$9)^(C628-2020)*(1-(1+Sources!C$9)^C629)/(-Sources!C$9*C629)</f>
        <v>#DIV/0!</v>
      </c>
      <c r="E654" s="613"/>
      <c r="F654" s="140" t="e">
        <f>Sources!C$8*(1+Sources!C$10)^(C628-2019)*(1-(1+Sources!C$10)^C629)/(-Sources!C$10*C629)</f>
        <v>#DIV/0!</v>
      </c>
      <c r="G654" s="140">
        <f>IFERROR(Hypothèses!H27*(1+L$8)^(C628-L$7)*(1-(1+L$8)^C629)/(-L$8*C629),Hypothèses!H27)</f>
        <v>0</v>
      </c>
      <c r="J654" s="3"/>
      <c r="K654" s="3"/>
      <c r="M654" s="3"/>
    </row>
    <row r="655" spans="1:14" collapsed="1" x14ac:dyDescent="0.25">
      <c r="B655" s="17"/>
      <c r="I655" s="3"/>
      <c r="J655" s="3"/>
      <c r="L655" s="3"/>
    </row>
    <row r="656" spans="1:14" s="628" customFormat="1" ht="15" customHeight="1" x14ac:dyDescent="0.3">
      <c r="A656" s="628" t="s">
        <v>222</v>
      </c>
    </row>
    <row r="657" spans="1:17" x14ac:dyDescent="0.25">
      <c r="A657" s="229">
        <f>IF(AND(F677&gt;0,C662&gt;0,IFERROR(K673,0)&gt;0),1,0)</f>
        <v>0</v>
      </c>
      <c r="B657" s="4"/>
    </row>
    <row r="658" spans="1:17" ht="18.75" x14ac:dyDescent="0.3">
      <c r="B658" s="4"/>
      <c r="E658" s="629" t="str">
        <f>IF(Hypothèses!B28&lt;&gt;0,Hypothèses!B28,"")</f>
        <v/>
      </c>
      <c r="F658" s="630"/>
      <c r="G658" s="630"/>
      <c r="H658" s="630"/>
      <c r="I658" s="631"/>
      <c r="O658" s="4"/>
    </row>
    <row r="659" spans="1:17" hidden="1" outlineLevel="1" x14ac:dyDescent="0.25">
      <c r="A659" s="4" t="s">
        <v>54</v>
      </c>
      <c r="B659" s="632" t="s">
        <v>114</v>
      </c>
      <c r="C659" s="632"/>
      <c r="D659" s="632"/>
      <c r="E659" s="633"/>
      <c r="F659" s="634"/>
      <c r="G659" s="634"/>
      <c r="H659" s="634"/>
      <c r="I659" s="635"/>
      <c r="O659" s="4"/>
    </row>
    <row r="660" spans="1:17" hidden="1" outlineLevel="1" x14ac:dyDescent="0.25">
      <c r="O660" s="4"/>
    </row>
    <row r="661" spans="1:17" hidden="1" outlineLevel="1" x14ac:dyDescent="0.25">
      <c r="B661" s="6" t="s">
        <v>13</v>
      </c>
      <c r="C661" s="6"/>
      <c r="D661" s="6"/>
      <c r="E661" s="6"/>
      <c r="F661" s="6"/>
      <c r="G661" s="6"/>
      <c r="I661" s="6" t="s">
        <v>22</v>
      </c>
      <c r="J661" s="6"/>
      <c r="K661" s="6"/>
      <c r="L661" s="6"/>
      <c r="Q661" s="4"/>
    </row>
    <row r="662" spans="1:17" hidden="1" outlineLevel="1" x14ac:dyDescent="0.25">
      <c r="B662" s="7" t="s">
        <v>36</v>
      </c>
      <c r="C662" s="230"/>
      <c r="I662" s="9" t="s">
        <v>15</v>
      </c>
      <c r="J662" s="9" t="s">
        <v>16</v>
      </c>
      <c r="K662" s="9" t="s">
        <v>1</v>
      </c>
      <c r="L662" s="9" t="s">
        <v>4</v>
      </c>
      <c r="Q662" s="4"/>
    </row>
    <row r="663" spans="1:17" hidden="1" outlineLevel="1" x14ac:dyDescent="0.25">
      <c r="B663" s="7" t="s">
        <v>240</v>
      </c>
      <c r="C663" s="231"/>
      <c r="I663" s="11" t="s">
        <v>31</v>
      </c>
      <c r="J663" s="11" t="s">
        <v>2</v>
      </c>
      <c r="K663" s="12" t="e">
        <f>SUM(K664:K666)</f>
        <v>#N/A</v>
      </c>
      <c r="L663" s="12" t="e">
        <f>SUM(L664:L666)</f>
        <v>#N/A</v>
      </c>
    </row>
    <row r="664" spans="1:17" hidden="1" outlineLevel="1" x14ac:dyDescent="0.25">
      <c r="B664" s="7" t="s">
        <v>44</v>
      </c>
      <c r="C664" s="231"/>
      <c r="I664" s="10" t="s">
        <v>3</v>
      </c>
      <c r="J664" s="10" t="s">
        <v>2</v>
      </c>
      <c r="K664" s="59" t="e">
        <f>IF(E675&gt;0,E675,D675)</f>
        <v>#N/A</v>
      </c>
      <c r="L664" s="59" t="e">
        <f>IF(G675&gt;0,G675,F675)</f>
        <v>#N/A</v>
      </c>
      <c r="M664" s="2"/>
    </row>
    <row r="665" spans="1:17" hidden="1" outlineLevel="1" x14ac:dyDescent="0.25">
      <c r="B665" s="7" t="s">
        <v>11</v>
      </c>
      <c r="C665" s="59">
        <f>Hypothèses!C28</f>
        <v>0</v>
      </c>
      <c r="I665" s="7" t="s">
        <v>33</v>
      </c>
      <c r="J665" s="10" t="s">
        <v>2</v>
      </c>
      <c r="K665" s="59">
        <f>-D682</f>
        <v>0</v>
      </c>
      <c r="L665" s="59">
        <f>-F682</f>
        <v>0</v>
      </c>
    </row>
    <row r="666" spans="1:17" hidden="1" outlineLevel="1" x14ac:dyDescent="0.25">
      <c r="B666" s="7" t="s">
        <v>12</v>
      </c>
      <c r="C666" s="59">
        <f>IFERROR(C665/C664,0)</f>
        <v>0</v>
      </c>
      <c r="I666" s="7" t="s">
        <v>20</v>
      </c>
      <c r="J666" s="10" t="s">
        <v>2</v>
      </c>
      <c r="K666" s="59" t="e">
        <f>-D676*K664</f>
        <v>#N/A</v>
      </c>
      <c r="L666" s="59" t="e">
        <f>-F676*L664</f>
        <v>#N/A</v>
      </c>
    </row>
    <row r="667" spans="1:17" hidden="1" outlineLevel="1" x14ac:dyDescent="0.25">
      <c r="B667" s="7" t="s">
        <v>241</v>
      </c>
      <c r="C667" s="231"/>
      <c r="F667"/>
      <c r="G667"/>
      <c r="I667" s="11" t="s">
        <v>30</v>
      </c>
      <c r="J667" s="11" t="s">
        <v>2</v>
      </c>
      <c r="K667" s="12" t="e">
        <f>SUM(K668:K671)</f>
        <v>#N/A</v>
      </c>
      <c r="L667" s="12" t="e">
        <f>SUM(L668:L671)</f>
        <v>#VALUE!</v>
      </c>
    </row>
    <row r="668" spans="1:17" hidden="1" outlineLevel="1" x14ac:dyDescent="0.25">
      <c r="B668" s="7" t="s">
        <v>242</v>
      </c>
      <c r="C668" s="231"/>
      <c r="D668" s="67"/>
      <c r="E668" s="67"/>
      <c r="F668"/>
      <c r="G668"/>
      <c r="I668" s="10" t="s">
        <v>0</v>
      </c>
      <c r="J668" s="10" t="s">
        <v>2</v>
      </c>
      <c r="K668" s="59" t="e">
        <f>C663*D678</f>
        <v>#N/A</v>
      </c>
      <c r="L668" s="59">
        <f>C663*F678</f>
        <v>0</v>
      </c>
      <c r="M668" s="2"/>
    </row>
    <row r="669" spans="1:17" hidden="1" outlineLevel="1" x14ac:dyDescent="0.25">
      <c r="I669" s="7" t="s">
        <v>24</v>
      </c>
      <c r="J669" s="10" t="s">
        <v>2</v>
      </c>
      <c r="K669" s="59" t="e">
        <f>IF(E679&gt;0,E679,D679)*C663</f>
        <v>#N/A</v>
      </c>
      <c r="L669" s="59">
        <f>C663*F679</f>
        <v>0</v>
      </c>
    </row>
    <row r="670" spans="1:17" hidden="1" outlineLevel="1" x14ac:dyDescent="0.25">
      <c r="B670" s="6" t="s">
        <v>14</v>
      </c>
      <c r="C670" s="6"/>
      <c r="D670" s="6"/>
      <c r="E670" s="6"/>
      <c r="F670" s="6"/>
      <c r="G670" s="6"/>
      <c r="I670" s="7" t="s">
        <v>29</v>
      </c>
      <c r="J670" s="10" t="s">
        <v>2</v>
      </c>
      <c r="K670" s="59" t="e">
        <f>$C663*$C665*(1/100)*IF(E673&gt;0,E673,D673)*D688</f>
        <v>#N/A</v>
      </c>
      <c r="L670" s="59" t="e">
        <f>C663*C665*(1/100)*F672*G688+IFERROR(C663*C665*(1/100)*IF(G674&gt;0,G674,F674)*F688,0)</f>
        <v>#VALUE!</v>
      </c>
    </row>
    <row r="671" spans="1:17" hidden="1" outlineLevel="1" x14ac:dyDescent="0.25">
      <c r="B671" s="9" t="s">
        <v>15</v>
      </c>
      <c r="C671" s="9" t="s">
        <v>16</v>
      </c>
      <c r="D671" s="627" t="s">
        <v>1</v>
      </c>
      <c r="E671" s="627"/>
      <c r="F671" s="636" t="s">
        <v>4</v>
      </c>
      <c r="G671" s="636"/>
      <c r="I671" s="7" t="s">
        <v>23</v>
      </c>
      <c r="J671" s="10" t="s">
        <v>2</v>
      </c>
      <c r="K671" s="60">
        <f>IFERROR(C663*D680,0)+D681</f>
        <v>0</v>
      </c>
      <c r="L671" s="60">
        <f>IFERROR(C663*F680,0)+F681</f>
        <v>0</v>
      </c>
    </row>
    <row r="672" spans="1:17" hidden="1" outlineLevel="1" x14ac:dyDescent="0.25">
      <c r="B672" s="7" t="s">
        <v>18</v>
      </c>
      <c r="C672" s="7" t="s">
        <v>5</v>
      </c>
      <c r="D672" s="615" t="s">
        <v>6</v>
      </c>
      <c r="E672" s="616"/>
      <c r="F672" s="617" t="str">
        <f>IF(Hypothèses!G28&gt;0,Hypothèses!G28,Hypothèses!E28)</f>
        <v/>
      </c>
      <c r="G672" s="617"/>
      <c r="I672" s="13" t="s">
        <v>8</v>
      </c>
      <c r="J672" s="14"/>
      <c r="K672" s="15" t="e">
        <f>K663+K667</f>
        <v>#N/A</v>
      </c>
      <c r="L672" s="15" t="e">
        <f>L663+L667</f>
        <v>#N/A</v>
      </c>
    </row>
    <row r="673" spans="2:14" hidden="1" outlineLevel="1" x14ac:dyDescent="0.25">
      <c r="B673" s="7" t="s">
        <v>17</v>
      </c>
      <c r="C673" s="7" t="s">
        <v>32</v>
      </c>
      <c r="D673" s="142" t="e">
        <f>VLOOKUP($E658,Sources!$B$53:$D$62,3,FALSE)</f>
        <v>#N/A</v>
      </c>
      <c r="E673" s="234"/>
      <c r="F673" s="617" t="s">
        <v>6</v>
      </c>
      <c r="G673" s="617"/>
      <c r="I673" s="7" t="s">
        <v>27</v>
      </c>
      <c r="J673" s="10" t="s">
        <v>2</v>
      </c>
      <c r="K673" s="621" t="e">
        <f>L672-K672</f>
        <v>#N/A</v>
      </c>
      <c r="L673" s="621"/>
    </row>
    <row r="674" spans="2:14" hidden="1" outlineLevel="1" x14ac:dyDescent="0.25">
      <c r="B674" s="7" t="s">
        <v>123</v>
      </c>
      <c r="C674" s="7" t="s">
        <v>7</v>
      </c>
      <c r="D674" s="615" t="s">
        <v>6</v>
      </c>
      <c r="E674" s="616"/>
      <c r="F674" s="144" t="e">
        <f>VLOOKUP(E658,Sources!$B$53:$D$62,2,FALSE)</f>
        <v>#N/A</v>
      </c>
      <c r="G674" s="235"/>
      <c r="I674" s="7" t="s">
        <v>27</v>
      </c>
      <c r="J674" s="10" t="s">
        <v>9</v>
      </c>
      <c r="K674" s="622">
        <f>IFERROR(K673/K672,0)</f>
        <v>0</v>
      </c>
      <c r="L674" s="622"/>
    </row>
    <row r="675" spans="2:14" hidden="1" outlineLevel="1" x14ac:dyDescent="0.25">
      <c r="B675" s="8" t="s">
        <v>19</v>
      </c>
      <c r="C675" s="10" t="s">
        <v>2</v>
      </c>
      <c r="D675" s="232" t="e">
        <f>VLOOKUP($E658,Sources!$B$14:$D$23,2,FALSE)</f>
        <v>#N/A</v>
      </c>
      <c r="E675" s="236"/>
      <c r="F675" s="232" t="e">
        <f>VLOOKUP($E658,Sources!$B$14:$D$23,3,FALSE)</f>
        <v>#N/A</v>
      </c>
      <c r="G675" s="236"/>
      <c r="I675" s="7" t="s">
        <v>27</v>
      </c>
      <c r="J675" s="16" t="s">
        <v>28</v>
      </c>
      <c r="K675" s="623">
        <f>IFERROR((L672-K672)/(C663*C665),0)</f>
        <v>0</v>
      </c>
      <c r="L675" s="623"/>
    </row>
    <row r="676" spans="2:14" hidden="1" outlineLevel="1" x14ac:dyDescent="0.25">
      <c r="B676" s="16" t="s">
        <v>20</v>
      </c>
      <c r="C676" s="81" t="s">
        <v>9</v>
      </c>
      <c r="D676" s="624" t="e">
        <f>IF(OR($C663&gt;VLOOKUP($E658,Sources!$B$82:$G$91,6,FALSE),$C663*$C665&gt;VLOOKUP($E658,Sources!$B$96:$G$105,6,FALSE)),0,MIN(VLOOKUP($E658,Sources!$B$82:$F$91,2,FALSE)*$C663^3+VLOOKUP($E658,Sources!$B$82:$F$91,3,FALSE)*$C663^2+VLOOKUP($E658,Sources!$B$82:$F$91,4,FALSE)*$C663+VLOOKUP($E658,Sources!$B$82:$F$91,5,FALSE),VLOOKUP($E658,Sources!$B$96:$F$105,2,FALSE)*($C663*$C665)^3+VLOOKUP($E658,Sources!$B$96:$F$105,3,FALSE)*($C663*$C665)^2+VLOOKUP($E658,Sources!$B$96:$F$105,4,FALSE)*$C663*$C665+VLOOKUP($E658,Sources!$B$96:$F$105,5,FALSE)))</f>
        <v>#N/A</v>
      </c>
      <c r="E676" s="625"/>
      <c r="F676" s="626" t="e">
        <f>IF(OR($C663&gt;VLOOKUP($E658,Sources!$B$82:$G$91,6,FALSE),$C663*$C665&gt;VLOOKUP($E658,Sources!$B$96:$G$105,6,FALSE)),0,(1-Sources!$D$77)*MIN(VLOOKUP($E658,Sources!$B$82:$F$91,2,FALSE)*$C663^3+VLOOKUP($E658,Sources!$B$82:$F$91,3,FALSE)*$C663^2+VLOOKUP($E658,Sources!$B$82:$F$91,4,FALSE)*$C663+VLOOKUP($E658,Sources!$B$82:$F$91,5,FALSE),VLOOKUP($E658,Sources!$B$96:$F$105,2,FALSE)*($C663*$C665)^3+VLOOKUP($E658,Sources!$B$96:$F$105,3,FALSE)*($C663*$C665)^2+VLOOKUP($E658,Sources!$B$96:$F$105,4,FALSE)*$C663*$C665+VLOOKUP($E658,Sources!$B$96:$F$105,5,FALSE)))</f>
        <v>#N/A</v>
      </c>
      <c r="G676" s="626"/>
      <c r="I676"/>
      <c r="K676" s="3"/>
      <c r="M676" s="3"/>
      <c r="N676" s="3"/>
    </row>
    <row r="677" spans="2:14" hidden="1" outlineLevel="1" x14ac:dyDescent="0.25">
      <c r="B677" s="7" t="s">
        <v>0</v>
      </c>
      <c r="C677" s="7" t="s">
        <v>43</v>
      </c>
      <c r="D677" s="143" t="e">
        <f>VLOOKUP($E658,Sources!$B$27:$D$36,2,FALSE)</f>
        <v>#N/A</v>
      </c>
      <c r="E677" s="237"/>
      <c r="F677" s="614"/>
      <c r="G677" s="614"/>
      <c r="I677"/>
      <c r="K677" s="3"/>
      <c r="L677" s="3"/>
      <c r="N677" s="3"/>
    </row>
    <row r="678" spans="2:14" hidden="1" outlineLevel="1" x14ac:dyDescent="0.25">
      <c r="B678" s="10" t="s">
        <v>0</v>
      </c>
      <c r="C678" s="7" t="s">
        <v>34</v>
      </c>
      <c r="D678" s="615" t="e">
        <f>IF(E677&gt;0,E677,D677)*C665</f>
        <v>#N/A</v>
      </c>
      <c r="E678" s="616"/>
      <c r="F678" s="617">
        <f>F677*C665</f>
        <v>0</v>
      </c>
      <c r="G678" s="617"/>
      <c r="I678"/>
      <c r="K678" s="3"/>
      <c r="L678" s="3"/>
      <c r="N678" s="3"/>
    </row>
    <row r="679" spans="2:14" hidden="1" outlineLevel="1" x14ac:dyDescent="0.25">
      <c r="B679" s="7" t="s">
        <v>24</v>
      </c>
      <c r="C679" s="7" t="s">
        <v>34</v>
      </c>
      <c r="D679" s="232" t="e">
        <f>VLOOKUP($E658,Sources!$B$40:$D$49,2,FALSE)</f>
        <v>#N/A</v>
      </c>
      <c r="E679" s="236"/>
      <c r="F679" s="614"/>
      <c r="G679" s="614"/>
      <c r="I679"/>
      <c r="K679" s="3"/>
      <c r="L679" s="3"/>
      <c r="N679" s="3"/>
    </row>
    <row r="680" spans="2:14" hidden="1" outlineLevel="1" x14ac:dyDescent="0.25">
      <c r="B680" s="7" t="s">
        <v>26</v>
      </c>
      <c r="C680" s="7" t="s">
        <v>34</v>
      </c>
      <c r="D680" s="615">
        <v>0</v>
      </c>
      <c r="E680" s="616"/>
      <c r="F680" s="614"/>
      <c r="G680" s="614"/>
      <c r="I680"/>
      <c r="J680"/>
      <c r="K680" s="3"/>
      <c r="L680" s="3"/>
      <c r="N680" s="3"/>
    </row>
    <row r="681" spans="2:14" hidden="1" outlineLevel="1" x14ac:dyDescent="0.25">
      <c r="B681" s="7" t="s">
        <v>209</v>
      </c>
      <c r="C681" s="7" t="s">
        <v>2</v>
      </c>
      <c r="D681" s="618"/>
      <c r="E681" s="619"/>
      <c r="F681" s="614"/>
      <c r="G681" s="614"/>
      <c r="I681"/>
      <c r="J681"/>
      <c r="K681" s="3"/>
      <c r="L681" s="3"/>
      <c r="N681" s="3"/>
    </row>
    <row r="682" spans="2:14" hidden="1" outlineLevel="1" x14ac:dyDescent="0.25">
      <c r="B682" s="7" t="s">
        <v>25</v>
      </c>
      <c r="C682" s="10" t="s">
        <v>2</v>
      </c>
      <c r="D682" s="615">
        <v>0</v>
      </c>
      <c r="E682" s="616"/>
      <c r="F682" s="620">
        <f>C668+C667</f>
        <v>0</v>
      </c>
      <c r="G682" s="620"/>
      <c r="I682"/>
      <c r="J682" s="3"/>
      <c r="K682" s="3"/>
      <c r="L682" s="3"/>
      <c r="N682" s="3"/>
    </row>
    <row r="683" spans="2:14" hidden="1" outlineLevel="1" x14ac:dyDescent="0.25">
      <c r="G683"/>
      <c r="H683" s="3"/>
      <c r="I683" s="3"/>
      <c r="J683" s="3"/>
      <c r="L683" s="3"/>
    </row>
    <row r="684" spans="2:14" hidden="1" outlineLevel="1" x14ac:dyDescent="0.25">
      <c r="H684" s="3"/>
      <c r="I684" s="3"/>
      <c r="J684" s="3"/>
      <c r="L684" s="3"/>
    </row>
    <row r="685" spans="2:14" hidden="1" outlineLevel="1" x14ac:dyDescent="0.25">
      <c r="B685" s="6" t="s">
        <v>10</v>
      </c>
      <c r="C685" s="6"/>
      <c r="D685" s="6"/>
      <c r="E685" s="5"/>
      <c r="F685" s="5"/>
      <c r="G685" s="5"/>
      <c r="I685" s="3"/>
      <c r="J685" s="3"/>
      <c r="L685" s="3"/>
    </row>
    <row r="686" spans="2:14" hidden="1" outlineLevel="1" x14ac:dyDescent="0.25">
      <c r="B686" s="9" t="s">
        <v>15</v>
      </c>
      <c r="C686" s="9" t="s">
        <v>16</v>
      </c>
      <c r="D686" s="627" t="s">
        <v>1</v>
      </c>
      <c r="E686" s="627"/>
      <c r="F686" s="203" t="s">
        <v>21</v>
      </c>
      <c r="G686" s="203" t="s">
        <v>4</v>
      </c>
      <c r="J686" s="3"/>
      <c r="K686" s="3"/>
      <c r="M686" s="3"/>
    </row>
    <row r="687" spans="2:14" hidden="1" outlineLevel="1" x14ac:dyDescent="0.25">
      <c r="B687" s="7" t="s">
        <v>236</v>
      </c>
      <c r="C687" s="7" t="s">
        <v>119</v>
      </c>
      <c r="D687" s="612">
        <f>IF(OR(E658=Sources!$B$14,E658=Sources!$B$15,E658=Sources!$B$23,E658=Sources!$B$24),Sources!$D$4,IF(OR(E658=Sources!$B$16,E658=Sources!$B$17,E658=Sources!$B$18),Sources!$D$6,Sources!$D$7))</f>
        <v>1.367</v>
      </c>
      <c r="E687" s="613"/>
      <c r="F687" s="140">
        <f>Sources!$C$8</f>
        <v>0.24</v>
      </c>
      <c r="J687" s="3"/>
      <c r="K687" s="3"/>
      <c r="M687" s="3"/>
    </row>
    <row r="688" spans="2:14" hidden="1" outlineLevel="1" x14ac:dyDescent="0.25">
      <c r="B688" s="7" t="s">
        <v>35</v>
      </c>
      <c r="C688" s="7" t="s">
        <v>119</v>
      </c>
      <c r="D688" s="612" t="e">
        <f>D687*(1+Sources!C$9)^(C662-2020)*(1-(1+Sources!C$9)^C663)/(-Sources!C$9*C663)</f>
        <v>#DIV/0!</v>
      </c>
      <c r="E688" s="613"/>
      <c r="F688" s="140" t="e">
        <f>Sources!C$8*(1+Sources!C$10)^(C662-2019)*(1-(1+Sources!C$10)^C663)/(-Sources!C$10*C663)</f>
        <v>#DIV/0!</v>
      </c>
      <c r="G688" s="140">
        <f>IFERROR(Hypothèses!H28*(1+L$8)^(C662-L$7)*(1-(1+L$8)^C663)/(-L$8*C663),Hypothèses!H28)</f>
        <v>0</v>
      </c>
      <c r="J688" s="3"/>
      <c r="K688" s="3"/>
      <c r="M688" s="3"/>
    </row>
    <row r="689" spans="2:12" collapsed="1" x14ac:dyDescent="0.25">
      <c r="B689" s="17"/>
      <c r="I689" s="3"/>
      <c r="J689" s="3"/>
      <c r="L689" s="3"/>
    </row>
    <row r="690" spans="2:12" s="4" customFormat="1" ht="15" customHeight="1" x14ac:dyDescent="0.25"/>
    <row r="691" spans="2:12" s="4" customFormat="1" x14ac:dyDescent="0.25"/>
    <row r="692" spans="2:12" s="4" customFormat="1" x14ac:dyDescent="0.25"/>
    <row r="693" spans="2:12" s="4" customFormat="1" x14ac:dyDescent="0.25"/>
    <row r="694" spans="2:12" s="4" customFormat="1" x14ac:dyDescent="0.25"/>
    <row r="695" spans="2:12" s="4" customFormat="1" x14ac:dyDescent="0.25"/>
    <row r="696" spans="2:12" s="4" customFormat="1" x14ac:dyDescent="0.25"/>
    <row r="697" spans="2:12" s="4" customFormat="1" x14ac:dyDescent="0.25"/>
    <row r="698" spans="2:12" s="4" customFormat="1" x14ac:dyDescent="0.25"/>
    <row r="699" spans="2:12" s="4" customFormat="1" x14ac:dyDescent="0.25"/>
    <row r="700" spans="2:12" s="4" customFormat="1" x14ac:dyDescent="0.25"/>
    <row r="701" spans="2:12" s="4" customFormat="1" x14ac:dyDescent="0.25"/>
    <row r="702" spans="2:12" s="4" customFormat="1" x14ac:dyDescent="0.25"/>
    <row r="703" spans="2:12" s="4" customFormat="1" x14ac:dyDescent="0.25"/>
    <row r="704" spans="2:12" s="4" customFormat="1" x14ac:dyDescent="0.25"/>
    <row r="705" s="4" customFormat="1" x14ac:dyDescent="0.25"/>
    <row r="706" s="4" customFormat="1" x14ac:dyDescent="0.25"/>
    <row r="707" s="4" customFormat="1" x14ac:dyDescent="0.25"/>
    <row r="708" s="4" customFormat="1" x14ac:dyDescent="0.25"/>
    <row r="709" s="4" customFormat="1" x14ac:dyDescent="0.25"/>
    <row r="710" s="4" customFormat="1" x14ac:dyDescent="0.25"/>
    <row r="711" s="4" customFormat="1" x14ac:dyDescent="0.25"/>
    <row r="712" s="4" customFormat="1" x14ac:dyDescent="0.25"/>
    <row r="713" s="4" customFormat="1" x14ac:dyDescent="0.25"/>
    <row r="714" s="4" customFormat="1" x14ac:dyDescent="0.25"/>
    <row r="715" s="4" customFormat="1" x14ac:dyDescent="0.25"/>
    <row r="716" s="4" customFormat="1" x14ac:dyDescent="0.25"/>
    <row r="717" s="4" customFormat="1" x14ac:dyDescent="0.25"/>
    <row r="718" s="4" customFormat="1" x14ac:dyDescent="0.25"/>
    <row r="719" s="4" customFormat="1" x14ac:dyDescent="0.25"/>
    <row r="720" s="4" customFormat="1" x14ac:dyDescent="0.25"/>
    <row r="721" s="4" customFormat="1" x14ac:dyDescent="0.25"/>
    <row r="722" s="4" customFormat="1" x14ac:dyDescent="0.25"/>
    <row r="723" s="4" customFormat="1" x14ac:dyDescent="0.25"/>
    <row r="724" s="4" customFormat="1" x14ac:dyDescent="0.25"/>
  </sheetData>
  <sheetProtection algorithmName="SHA-512" hashValue="wu/WuKDozjQYL3KHWmFmLTFmUlgZTkR1X7H6rEJpDb1J2ztKafaL/Crun8+78E8MWe12UJhS6dL6SiFFjRxGHA==" saltValue="P7GYVYgi8x4TtKJ4hUnH2g==" spinCount="100000" sheet="1" formatCells="0" formatColumns="0" formatRows="0"/>
  <mergeCells count="565">
    <mergeCell ref="D30:E30"/>
    <mergeCell ref="D32:E32"/>
    <mergeCell ref="D34:E34"/>
    <mergeCell ref="D35:E35"/>
    <mergeCell ref="D36:E36"/>
    <mergeCell ref="F35:G35"/>
    <mergeCell ref="F36:G36"/>
    <mergeCell ref="F30:G30"/>
    <mergeCell ref="F31:G31"/>
    <mergeCell ref="F32:G32"/>
    <mergeCell ref="F33:G33"/>
    <mergeCell ref="F34:G34"/>
    <mergeCell ref="B217:D217"/>
    <mergeCell ref="D300:E300"/>
    <mergeCell ref="D302:E302"/>
    <mergeCell ref="F302:G302"/>
    <mergeCell ref="F303:G303"/>
    <mergeCell ref="D304:E304"/>
    <mergeCell ref="D40:E40"/>
    <mergeCell ref="D41:E41"/>
    <mergeCell ref="D42:E42"/>
    <mergeCell ref="D60:E60"/>
    <mergeCell ref="F60:G60"/>
    <mergeCell ref="D272:E272"/>
    <mergeCell ref="F272:G272"/>
    <mergeCell ref="D273:E273"/>
    <mergeCell ref="F273:G273"/>
    <mergeCell ref="D274:E274"/>
    <mergeCell ref="F274:G274"/>
    <mergeCell ref="D278:E278"/>
    <mergeCell ref="F239:G239"/>
    <mergeCell ref="D240:E240"/>
    <mergeCell ref="F240:G240"/>
    <mergeCell ref="D268:E268"/>
    <mergeCell ref="F268:G268"/>
    <mergeCell ref="E182:I182"/>
    <mergeCell ref="F169:G169"/>
    <mergeCell ref="D170:E170"/>
    <mergeCell ref="F170:G170"/>
    <mergeCell ref="K197:L197"/>
    <mergeCell ref="K198:L198"/>
    <mergeCell ref="K199:L199"/>
    <mergeCell ref="E183:I183"/>
    <mergeCell ref="D195:E195"/>
    <mergeCell ref="F195:G195"/>
    <mergeCell ref="D196:E196"/>
    <mergeCell ref="F196:G196"/>
    <mergeCell ref="F197:G197"/>
    <mergeCell ref="D198:E198"/>
    <mergeCell ref="F133:G133"/>
    <mergeCell ref="F161:G161"/>
    <mergeCell ref="D130:E130"/>
    <mergeCell ref="D132:E132"/>
    <mergeCell ref="F132:G132"/>
    <mergeCell ref="F166:G166"/>
    <mergeCell ref="F167:G167"/>
    <mergeCell ref="D168:E168"/>
    <mergeCell ref="F168:G168"/>
    <mergeCell ref="F134:G134"/>
    <mergeCell ref="F135:G135"/>
    <mergeCell ref="D136:E136"/>
    <mergeCell ref="F136:G136"/>
    <mergeCell ref="D137:E137"/>
    <mergeCell ref="F137:G137"/>
    <mergeCell ref="D138:E138"/>
    <mergeCell ref="F138:G138"/>
    <mergeCell ref="K163:L163"/>
    <mergeCell ref="K96:L96"/>
    <mergeCell ref="K97:L97"/>
    <mergeCell ref="A78:XFD78"/>
    <mergeCell ref="B81:D81"/>
    <mergeCell ref="K95:L95"/>
    <mergeCell ref="E115:I115"/>
    <mergeCell ref="E114:I114"/>
    <mergeCell ref="D93:E93"/>
    <mergeCell ref="F93:G93"/>
    <mergeCell ref="D94:E94"/>
    <mergeCell ref="F94:G94"/>
    <mergeCell ref="F95:G95"/>
    <mergeCell ref="D96:E96"/>
    <mergeCell ref="D98:E98"/>
    <mergeCell ref="F98:G98"/>
    <mergeCell ref="F99:G99"/>
    <mergeCell ref="E81:I81"/>
    <mergeCell ref="E80:I80"/>
    <mergeCell ref="D100:E100"/>
    <mergeCell ref="F100:G100"/>
    <mergeCell ref="F101:G101"/>
    <mergeCell ref="D102:E102"/>
    <mergeCell ref="F102:G102"/>
    <mergeCell ref="K62:L62"/>
    <mergeCell ref="K63:L63"/>
    <mergeCell ref="A44:XFD44"/>
    <mergeCell ref="B47:D47"/>
    <mergeCell ref="K61:L61"/>
    <mergeCell ref="F61:G61"/>
    <mergeCell ref="D62:E62"/>
    <mergeCell ref="D59:E59"/>
    <mergeCell ref="F59:G59"/>
    <mergeCell ref="E46:I46"/>
    <mergeCell ref="E47:I47"/>
    <mergeCell ref="K27:L27"/>
    <mergeCell ref="K28:L28"/>
    <mergeCell ref="K29:L29"/>
    <mergeCell ref="A10:XFD10"/>
    <mergeCell ref="B13:D13"/>
    <mergeCell ref="D25:E25"/>
    <mergeCell ref="D26:E26"/>
    <mergeCell ref="D28:E28"/>
    <mergeCell ref="F26:G26"/>
    <mergeCell ref="F27:G27"/>
    <mergeCell ref="F25:G25"/>
    <mergeCell ref="E12:I12"/>
    <mergeCell ref="E13:I13"/>
    <mergeCell ref="D74:E74"/>
    <mergeCell ref="D75:E75"/>
    <mergeCell ref="D76:E76"/>
    <mergeCell ref="D64:E64"/>
    <mergeCell ref="F64:G64"/>
    <mergeCell ref="F65:G65"/>
    <mergeCell ref="D66:E66"/>
    <mergeCell ref="D70:E70"/>
    <mergeCell ref="F70:G70"/>
    <mergeCell ref="F66:G66"/>
    <mergeCell ref="F67:G67"/>
    <mergeCell ref="D68:E68"/>
    <mergeCell ref="F68:G68"/>
    <mergeCell ref="D69:E69"/>
    <mergeCell ref="F69:G69"/>
    <mergeCell ref="D229:E229"/>
    <mergeCell ref="A214:XFD214"/>
    <mergeCell ref="K232:L232"/>
    <mergeCell ref="D103:E103"/>
    <mergeCell ref="F103:G103"/>
    <mergeCell ref="D104:E104"/>
    <mergeCell ref="F104:G104"/>
    <mergeCell ref="D127:E127"/>
    <mergeCell ref="F127:G127"/>
    <mergeCell ref="A112:XFD112"/>
    <mergeCell ref="B115:D115"/>
    <mergeCell ref="D128:E128"/>
    <mergeCell ref="F128:G128"/>
    <mergeCell ref="K129:L129"/>
    <mergeCell ref="K130:L130"/>
    <mergeCell ref="K131:L131"/>
    <mergeCell ref="A146:XFD146"/>
    <mergeCell ref="B149:D149"/>
    <mergeCell ref="E148:I148"/>
    <mergeCell ref="E149:I149"/>
    <mergeCell ref="D162:E162"/>
    <mergeCell ref="F162:G162"/>
    <mergeCell ref="F163:G163"/>
    <mergeCell ref="D134:E134"/>
    <mergeCell ref="D212:E212"/>
    <mergeCell ref="D171:E171"/>
    <mergeCell ref="F171:G171"/>
    <mergeCell ref="D172:E172"/>
    <mergeCell ref="F172:G172"/>
    <mergeCell ref="F205:G205"/>
    <mergeCell ref="B183:D183"/>
    <mergeCell ref="D200:E200"/>
    <mergeCell ref="F200:G200"/>
    <mergeCell ref="F201:G201"/>
    <mergeCell ref="D202:E202"/>
    <mergeCell ref="F202:G202"/>
    <mergeCell ref="F203:G203"/>
    <mergeCell ref="D204:E204"/>
    <mergeCell ref="F204:G204"/>
    <mergeCell ref="D206:E206"/>
    <mergeCell ref="F206:G206"/>
    <mergeCell ref="D205:E205"/>
    <mergeCell ref="F231:G231"/>
    <mergeCell ref="E284:I284"/>
    <mergeCell ref="F235:G235"/>
    <mergeCell ref="D236:E236"/>
    <mergeCell ref="F236:G236"/>
    <mergeCell ref="F237:G237"/>
    <mergeCell ref="D238:E238"/>
    <mergeCell ref="F306:G306"/>
    <mergeCell ref="D232:E232"/>
    <mergeCell ref="E285:I285"/>
    <mergeCell ref="D297:E297"/>
    <mergeCell ref="F297:G297"/>
    <mergeCell ref="D298:E298"/>
    <mergeCell ref="F298:G298"/>
    <mergeCell ref="F299:G299"/>
    <mergeCell ref="F304:G304"/>
    <mergeCell ref="F305:G305"/>
    <mergeCell ref="D306:E306"/>
    <mergeCell ref="B5:I5"/>
    <mergeCell ref="D346:E346"/>
    <mergeCell ref="D264:E264"/>
    <mergeCell ref="F264:G264"/>
    <mergeCell ref="F339:G339"/>
    <mergeCell ref="D308:E308"/>
    <mergeCell ref="F308:G308"/>
    <mergeCell ref="D331:E331"/>
    <mergeCell ref="F331:G331"/>
    <mergeCell ref="D332:E332"/>
    <mergeCell ref="F332:G332"/>
    <mergeCell ref="F333:G333"/>
    <mergeCell ref="D312:E312"/>
    <mergeCell ref="D313:E313"/>
    <mergeCell ref="D314:E314"/>
    <mergeCell ref="D334:E334"/>
    <mergeCell ref="D336:E336"/>
    <mergeCell ref="F336:G336"/>
    <mergeCell ref="F337:G337"/>
    <mergeCell ref="F129:G129"/>
    <mergeCell ref="A180:XFD180"/>
    <mergeCell ref="D164:E164"/>
    <mergeCell ref="D166:E166"/>
    <mergeCell ref="K231:L231"/>
    <mergeCell ref="I7:K7"/>
    <mergeCell ref="I8:K8"/>
    <mergeCell ref="D340:E340"/>
    <mergeCell ref="F340:G340"/>
    <mergeCell ref="D341:E341"/>
    <mergeCell ref="F341:G341"/>
    <mergeCell ref="D342:E342"/>
    <mergeCell ref="F342:G342"/>
    <mergeCell ref="D108:E108"/>
    <mergeCell ref="D109:E109"/>
    <mergeCell ref="D110:E110"/>
    <mergeCell ref="D142:E142"/>
    <mergeCell ref="D143:E143"/>
    <mergeCell ref="D144:E144"/>
    <mergeCell ref="D176:E176"/>
    <mergeCell ref="D177:E177"/>
    <mergeCell ref="D178:E178"/>
    <mergeCell ref="D210:E210"/>
    <mergeCell ref="D211:E211"/>
    <mergeCell ref="K265:L265"/>
    <mergeCell ref="L7:M7"/>
    <mergeCell ref="L8:M8"/>
    <mergeCell ref="F269:G269"/>
    <mergeCell ref="F238:G238"/>
    <mergeCell ref="A350:XFD350"/>
    <mergeCell ref="E352:I352"/>
    <mergeCell ref="B353:D353"/>
    <mergeCell ref="E353:I353"/>
    <mergeCell ref="D365:E365"/>
    <mergeCell ref="F365:G365"/>
    <mergeCell ref="D366:E366"/>
    <mergeCell ref="F366:G366"/>
    <mergeCell ref="D161:E161"/>
    <mergeCell ref="D239:E239"/>
    <mergeCell ref="D279:E279"/>
    <mergeCell ref="D280:E280"/>
    <mergeCell ref="K164:L164"/>
    <mergeCell ref="K165:L165"/>
    <mergeCell ref="E216:I216"/>
    <mergeCell ref="E217:I217"/>
    <mergeCell ref="D338:E338"/>
    <mergeCell ref="F338:G338"/>
    <mergeCell ref="F265:G265"/>
    <mergeCell ref="D266:E266"/>
    <mergeCell ref="D244:E244"/>
    <mergeCell ref="F229:G229"/>
    <mergeCell ref="D230:E230"/>
    <mergeCell ref="F230:G230"/>
    <mergeCell ref="K266:L266"/>
    <mergeCell ref="K267:L267"/>
    <mergeCell ref="A282:XFD282"/>
    <mergeCell ref="D347:E347"/>
    <mergeCell ref="D348:E348"/>
    <mergeCell ref="F270:G270"/>
    <mergeCell ref="F271:G271"/>
    <mergeCell ref="K334:L334"/>
    <mergeCell ref="K335:L335"/>
    <mergeCell ref="A316:XFD316"/>
    <mergeCell ref="B319:D319"/>
    <mergeCell ref="K333:L333"/>
    <mergeCell ref="B285:D285"/>
    <mergeCell ref="K299:L299"/>
    <mergeCell ref="K300:L300"/>
    <mergeCell ref="K301:L301"/>
    <mergeCell ref="D270:E270"/>
    <mergeCell ref="E318:I318"/>
    <mergeCell ref="E319:I319"/>
    <mergeCell ref="F307:G307"/>
    <mergeCell ref="D307:E307"/>
    <mergeCell ref="K233:L233"/>
    <mergeCell ref="A248:XFD248"/>
    <mergeCell ref="B251:D251"/>
    <mergeCell ref="E250:I250"/>
    <mergeCell ref="E251:I251"/>
    <mergeCell ref="D234:E234"/>
    <mergeCell ref="F234:G234"/>
    <mergeCell ref="F263:G263"/>
    <mergeCell ref="D263:E263"/>
    <mergeCell ref="D245:E245"/>
    <mergeCell ref="D246:E246"/>
    <mergeCell ref="F367:G367"/>
    <mergeCell ref="K367:L367"/>
    <mergeCell ref="D368:E368"/>
    <mergeCell ref="K368:L368"/>
    <mergeCell ref="K369:L369"/>
    <mergeCell ref="D370:E370"/>
    <mergeCell ref="F370:G370"/>
    <mergeCell ref="F371:G371"/>
    <mergeCell ref="D372:E372"/>
    <mergeCell ref="F372:G372"/>
    <mergeCell ref="F373:G373"/>
    <mergeCell ref="D374:E374"/>
    <mergeCell ref="F374:G374"/>
    <mergeCell ref="D375:E375"/>
    <mergeCell ref="F375:G375"/>
    <mergeCell ref="D376:E376"/>
    <mergeCell ref="F376:G376"/>
    <mergeCell ref="D380:E380"/>
    <mergeCell ref="D381:E381"/>
    <mergeCell ref="D382:E382"/>
    <mergeCell ref="A384:XFD384"/>
    <mergeCell ref="E386:I386"/>
    <mergeCell ref="B387:D387"/>
    <mergeCell ref="E387:I387"/>
    <mergeCell ref="D399:E399"/>
    <mergeCell ref="F399:G399"/>
    <mergeCell ref="D400:E400"/>
    <mergeCell ref="F400:G400"/>
    <mergeCell ref="F401:G401"/>
    <mergeCell ref="K401:L401"/>
    <mergeCell ref="D402:E402"/>
    <mergeCell ref="K402:L402"/>
    <mergeCell ref="K403:L403"/>
    <mergeCell ref="D404:E404"/>
    <mergeCell ref="F404:G404"/>
    <mergeCell ref="F405:G405"/>
    <mergeCell ref="D406:E406"/>
    <mergeCell ref="F406:G406"/>
    <mergeCell ref="F407:G407"/>
    <mergeCell ref="D408:E408"/>
    <mergeCell ref="F408:G408"/>
    <mergeCell ref="D409:E409"/>
    <mergeCell ref="F409:G409"/>
    <mergeCell ref="D410:E410"/>
    <mergeCell ref="F410:G410"/>
    <mergeCell ref="D414:E414"/>
    <mergeCell ref="D415:E415"/>
    <mergeCell ref="D416:E416"/>
    <mergeCell ref="A418:XFD418"/>
    <mergeCell ref="E420:I420"/>
    <mergeCell ref="B421:D421"/>
    <mergeCell ref="E421:I421"/>
    <mergeCell ref="D433:E433"/>
    <mergeCell ref="F433:G433"/>
    <mergeCell ref="D434:E434"/>
    <mergeCell ref="F434:G434"/>
    <mergeCell ref="F435:G435"/>
    <mergeCell ref="K435:L435"/>
    <mergeCell ref="D436:E436"/>
    <mergeCell ref="K436:L436"/>
    <mergeCell ref="K437:L437"/>
    <mergeCell ref="D438:E438"/>
    <mergeCell ref="F438:G438"/>
    <mergeCell ref="F439:G439"/>
    <mergeCell ref="D440:E440"/>
    <mergeCell ref="F440:G440"/>
    <mergeCell ref="F441:G441"/>
    <mergeCell ref="D442:E442"/>
    <mergeCell ref="F442:G442"/>
    <mergeCell ref="D443:E443"/>
    <mergeCell ref="F443:G443"/>
    <mergeCell ref="D444:E444"/>
    <mergeCell ref="F444:G444"/>
    <mergeCell ref="D448:E448"/>
    <mergeCell ref="D449:E449"/>
    <mergeCell ref="D450:E450"/>
    <mergeCell ref="A452:XFD452"/>
    <mergeCell ref="E454:I454"/>
    <mergeCell ref="B455:D455"/>
    <mergeCell ref="E455:I455"/>
    <mergeCell ref="D467:E467"/>
    <mergeCell ref="F467:G467"/>
    <mergeCell ref="D468:E468"/>
    <mergeCell ref="F468:G468"/>
    <mergeCell ref="F469:G469"/>
    <mergeCell ref="K469:L469"/>
    <mergeCell ref="D470:E470"/>
    <mergeCell ref="K470:L470"/>
    <mergeCell ref="K471:L471"/>
    <mergeCell ref="D472:E472"/>
    <mergeCell ref="F472:G472"/>
    <mergeCell ref="F473:G473"/>
    <mergeCell ref="D474:E474"/>
    <mergeCell ref="F474:G474"/>
    <mergeCell ref="F475:G475"/>
    <mergeCell ref="D476:E476"/>
    <mergeCell ref="F476:G476"/>
    <mergeCell ref="D477:E477"/>
    <mergeCell ref="F477:G477"/>
    <mergeCell ref="D478:E478"/>
    <mergeCell ref="F478:G478"/>
    <mergeCell ref="D482:E482"/>
    <mergeCell ref="D483:E483"/>
    <mergeCell ref="D484:E484"/>
    <mergeCell ref="A486:XFD486"/>
    <mergeCell ref="E488:I488"/>
    <mergeCell ref="B489:D489"/>
    <mergeCell ref="E489:I489"/>
    <mergeCell ref="D501:E501"/>
    <mergeCell ref="F501:G501"/>
    <mergeCell ref="D502:E502"/>
    <mergeCell ref="F502:G502"/>
    <mergeCell ref="F503:G503"/>
    <mergeCell ref="K503:L503"/>
    <mergeCell ref="D504:E504"/>
    <mergeCell ref="K504:L504"/>
    <mergeCell ref="K505:L505"/>
    <mergeCell ref="D506:E506"/>
    <mergeCell ref="F506:G506"/>
    <mergeCell ref="F507:G507"/>
    <mergeCell ref="D508:E508"/>
    <mergeCell ref="F508:G508"/>
    <mergeCell ref="F509:G509"/>
    <mergeCell ref="D510:E510"/>
    <mergeCell ref="F510:G510"/>
    <mergeCell ref="D511:E511"/>
    <mergeCell ref="F511:G511"/>
    <mergeCell ref="D512:E512"/>
    <mergeCell ref="F512:G512"/>
    <mergeCell ref="D516:E516"/>
    <mergeCell ref="D517:E517"/>
    <mergeCell ref="D518:E518"/>
    <mergeCell ref="A520:XFD520"/>
    <mergeCell ref="E522:I522"/>
    <mergeCell ref="B523:D523"/>
    <mergeCell ref="E523:I523"/>
    <mergeCell ref="D535:E535"/>
    <mergeCell ref="F535:G535"/>
    <mergeCell ref="D536:E536"/>
    <mergeCell ref="F536:G536"/>
    <mergeCell ref="F537:G537"/>
    <mergeCell ref="K537:L537"/>
    <mergeCell ref="D538:E538"/>
    <mergeCell ref="K538:L538"/>
    <mergeCell ref="K539:L539"/>
    <mergeCell ref="D540:E540"/>
    <mergeCell ref="F540:G540"/>
    <mergeCell ref="F541:G541"/>
    <mergeCell ref="D542:E542"/>
    <mergeCell ref="F542:G542"/>
    <mergeCell ref="F543:G543"/>
    <mergeCell ref="D544:E544"/>
    <mergeCell ref="F544:G544"/>
    <mergeCell ref="D545:E545"/>
    <mergeCell ref="F545:G545"/>
    <mergeCell ref="D546:E546"/>
    <mergeCell ref="F546:G546"/>
    <mergeCell ref="D550:E550"/>
    <mergeCell ref="D551:E551"/>
    <mergeCell ref="D552:E552"/>
    <mergeCell ref="A554:XFD554"/>
    <mergeCell ref="E556:I556"/>
    <mergeCell ref="B557:D557"/>
    <mergeCell ref="E557:I557"/>
    <mergeCell ref="D569:E569"/>
    <mergeCell ref="F569:G569"/>
    <mergeCell ref="D570:E570"/>
    <mergeCell ref="F570:G570"/>
    <mergeCell ref="F571:G571"/>
    <mergeCell ref="K571:L571"/>
    <mergeCell ref="D572:E572"/>
    <mergeCell ref="K572:L572"/>
    <mergeCell ref="K573:L573"/>
    <mergeCell ref="D574:E574"/>
    <mergeCell ref="F574:G574"/>
    <mergeCell ref="F575:G575"/>
    <mergeCell ref="D576:E576"/>
    <mergeCell ref="F576:G576"/>
    <mergeCell ref="F577:G577"/>
    <mergeCell ref="D578:E578"/>
    <mergeCell ref="F578:G578"/>
    <mergeCell ref="D579:E579"/>
    <mergeCell ref="F579:G579"/>
    <mergeCell ref="D580:E580"/>
    <mergeCell ref="F580:G580"/>
    <mergeCell ref="D584:E584"/>
    <mergeCell ref="D585:E585"/>
    <mergeCell ref="D586:E586"/>
    <mergeCell ref="A588:XFD588"/>
    <mergeCell ref="E590:I590"/>
    <mergeCell ref="B591:D591"/>
    <mergeCell ref="E591:I591"/>
    <mergeCell ref="D603:E603"/>
    <mergeCell ref="F603:G603"/>
    <mergeCell ref="D604:E604"/>
    <mergeCell ref="F604:G604"/>
    <mergeCell ref="F605:G605"/>
    <mergeCell ref="K605:L605"/>
    <mergeCell ref="D606:E606"/>
    <mergeCell ref="K606:L606"/>
    <mergeCell ref="K607:L607"/>
    <mergeCell ref="D608:E608"/>
    <mergeCell ref="F608:G608"/>
    <mergeCell ref="F609:G609"/>
    <mergeCell ref="D610:E610"/>
    <mergeCell ref="F610:G610"/>
    <mergeCell ref="F611:G611"/>
    <mergeCell ref="D612:E612"/>
    <mergeCell ref="F612:G612"/>
    <mergeCell ref="D613:E613"/>
    <mergeCell ref="F613:G613"/>
    <mergeCell ref="D614:E614"/>
    <mergeCell ref="F614:G614"/>
    <mergeCell ref="D618:E618"/>
    <mergeCell ref="D619:E619"/>
    <mergeCell ref="D620:E620"/>
    <mergeCell ref="A622:XFD622"/>
    <mergeCell ref="E624:I624"/>
    <mergeCell ref="B625:D625"/>
    <mergeCell ref="E625:I625"/>
    <mergeCell ref="D637:E637"/>
    <mergeCell ref="F637:G637"/>
    <mergeCell ref="D638:E638"/>
    <mergeCell ref="F638:G638"/>
    <mergeCell ref="F639:G639"/>
    <mergeCell ref="K639:L639"/>
    <mergeCell ref="D640:E640"/>
    <mergeCell ref="K640:L640"/>
    <mergeCell ref="K641:L641"/>
    <mergeCell ref="D642:E642"/>
    <mergeCell ref="F642:G642"/>
    <mergeCell ref="F643:G643"/>
    <mergeCell ref="D644:E644"/>
    <mergeCell ref="F644:G644"/>
    <mergeCell ref="F645:G645"/>
    <mergeCell ref="D646:E646"/>
    <mergeCell ref="F646:G646"/>
    <mergeCell ref="D647:E647"/>
    <mergeCell ref="F647:G647"/>
    <mergeCell ref="D648:E648"/>
    <mergeCell ref="F648:G648"/>
    <mergeCell ref="D652:E652"/>
    <mergeCell ref="D653:E653"/>
    <mergeCell ref="D654:E654"/>
    <mergeCell ref="A656:XFD656"/>
    <mergeCell ref="E658:I658"/>
    <mergeCell ref="B659:D659"/>
    <mergeCell ref="E659:I659"/>
    <mergeCell ref="D671:E671"/>
    <mergeCell ref="F671:G671"/>
    <mergeCell ref="D672:E672"/>
    <mergeCell ref="F672:G672"/>
    <mergeCell ref="F673:G673"/>
    <mergeCell ref="K673:L673"/>
    <mergeCell ref="D674:E674"/>
    <mergeCell ref="K674:L674"/>
    <mergeCell ref="K675:L675"/>
    <mergeCell ref="D676:E676"/>
    <mergeCell ref="F676:G676"/>
    <mergeCell ref="D686:E686"/>
    <mergeCell ref="D687:E687"/>
    <mergeCell ref="D688:E688"/>
    <mergeCell ref="F677:G677"/>
    <mergeCell ref="D678:E678"/>
    <mergeCell ref="F678:G678"/>
    <mergeCell ref="F679:G679"/>
    <mergeCell ref="D680:E680"/>
    <mergeCell ref="F680:G680"/>
    <mergeCell ref="D681:E681"/>
    <mergeCell ref="F681:G681"/>
    <mergeCell ref="D682:E682"/>
    <mergeCell ref="F682:G682"/>
  </mergeCells>
  <conditionalFormatting sqref="L7:L8">
    <cfRule type="cellIs" dxfId="3" priority="1" operator="equal">
      <formula>"Pas de BP distributeur"</formula>
    </cfRule>
  </conditionalFormatting>
  <pageMargins left="0.7" right="0.7"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theme="7" tint="0.79998168889431442"/>
  </sheetPr>
  <dimension ref="A1:AB48"/>
  <sheetViews>
    <sheetView showGridLines="0" zoomScale="80" zoomScaleNormal="80" workbookViewId="0">
      <pane ySplit="1" topLeftCell="A2" activePane="bottomLeft" state="frozen"/>
      <selection pane="bottomLeft" activeCell="E27" sqref="E27"/>
    </sheetView>
  </sheetViews>
  <sheetFormatPr baseColWidth="10" defaultColWidth="11.42578125" defaultRowHeight="15" x14ac:dyDescent="0.25"/>
  <cols>
    <col min="1" max="1" width="9.85546875" style="158" customWidth="1"/>
    <col min="2" max="2" width="29.5703125" style="158" customWidth="1"/>
    <col min="3" max="3" width="22.85546875" style="158" customWidth="1"/>
    <col min="4" max="4" width="16.140625" style="158" customWidth="1"/>
    <col min="5" max="5" width="18.85546875" style="158" customWidth="1"/>
    <col min="6" max="6" width="19.85546875" style="158" customWidth="1"/>
    <col min="7" max="7" width="18.5703125" style="158" customWidth="1"/>
    <col min="8" max="8" width="19.85546875" style="158" customWidth="1"/>
    <col min="9" max="9" width="20.85546875" style="158" customWidth="1"/>
    <col min="10" max="10" width="16.7109375" style="158" customWidth="1"/>
    <col min="11" max="16384" width="11.42578125" style="158"/>
  </cols>
  <sheetData>
    <row r="1" spans="1:28" s="272" customFormat="1" ht="46.5" customHeight="1" x14ac:dyDescent="0.45">
      <c r="A1" s="273" t="s">
        <v>87</v>
      </c>
      <c r="B1" s="271"/>
      <c r="C1" s="271"/>
      <c r="D1" s="271"/>
      <c r="E1" s="271"/>
      <c r="F1" s="271"/>
      <c r="G1" s="271"/>
      <c r="H1" s="271"/>
      <c r="I1" s="271"/>
      <c r="J1" s="271"/>
      <c r="K1" s="271"/>
      <c r="L1" s="271"/>
      <c r="M1" s="271"/>
      <c r="N1" s="271"/>
      <c r="O1" s="271"/>
      <c r="P1" s="271"/>
      <c r="Q1" s="271"/>
      <c r="R1" s="271"/>
      <c r="S1" s="271"/>
      <c r="T1" s="271"/>
      <c r="U1" s="271"/>
      <c r="V1" s="271"/>
      <c r="W1" s="271"/>
    </row>
    <row r="2" spans="1:28" x14ac:dyDescent="0.25">
      <c r="A2" s="157"/>
      <c r="B2" s="157"/>
    </row>
    <row r="3" spans="1:28" s="173" customFormat="1" ht="24" customHeight="1" x14ac:dyDescent="0.25">
      <c r="A3" s="270"/>
      <c r="B3" s="274" t="s">
        <v>88</v>
      </c>
      <c r="C3" s="275"/>
      <c r="F3" s="653" t="s">
        <v>126</v>
      </c>
      <c r="G3" s="654"/>
      <c r="H3" s="276" t="str">
        <f>IF(F4=Sources!C66,"Part renouvelable (%)","")</f>
        <v>Part renouvelable (%)</v>
      </c>
      <c r="I3" s="648" t="s">
        <v>167</v>
      </c>
      <c r="J3" s="648"/>
      <c r="K3" s="277"/>
      <c r="N3" s="278" t="s">
        <v>168</v>
      </c>
    </row>
    <row r="4" spans="1:28" s="173" customFormat="1" ht="21.75" customHeight="1" x14ac:dyDescent="0.25">
      <c r="A4" s="270"/>
      <c r="B4" s="279" t="s">
        <v>207</v>
      </c>
      <c r="F4" s="649" t="s">
        <v>127</v>
      </c>
      <c r="G4" s="649"/>
      <c r="H4" s="280">
        <v>0</v>
      </c>
      <c r="I4" s="649" t="s">
        <v>168</v>
      </c>
      <c r="J4" s="649"/>
      <c r="N4" s="278" t="s">
        <v>169</v>
      </c>
    </row>
    <row r="5" spans="1:28" x14ac:dyDescent="0.25">
      <c r="A5" s="157"/>
      <c r="G5" s="160"/>
      <c r="H5" s="160"/>
      <c r="N5" s="159" t="s">
        <v>170</v>
      </c>
    </row>
    <row r="6" spans="1:28" ht="15.75" thickBot="1" x14ac:dyDescent="0.3">
      <c r="A6" s="157"/>
      <c r="B6" s="161"/>
      <c r="G6" s="160"/>
      <c r="H6" s="160"/>
      <c r="N6" s="159" t="s">
        <v>171</v>
      </c>
    </row>
    <row r="7" spans="1:28" ht="16.5" thickTop="1" thickBot="1" x14ac:dyDescent="0.3">
      <c r="A7" s="157"/>
      <c r="B7" s="161"/>
      <c r="D7" s="650" t="s">
        <v>173</v>
      </c>
      <c r="E7" s="651"/>
      <c r="F7" s="162">
        <f>J32+I47</f>
        <v>0</v>
      </c>
      <c r="G7" s="160"/>
      <c r="H7" s="160"/>
    </row>
    <row r="8" spans="1:28" ht="15.75" thickTop="1" x14ac:dyDescent="0.25">
      <c r="A8" s="157"/>
      <c r="B8" s="161"/>
      <c r="G8" s="160"/>
      <c r="H8" s="160"/>
    </row>
    <row r="9" spans="1:28" s="157" customFormat="1" ht="25.5" customHeight="1" x14ac:dyDescent="0.25">
      <c r="A9" s="282" t="s">
        <v>160</v>
      </c>
      <c r="B9" s="281"/>
      <c r="C9" s="281"/>
      <c r="D9" s="281"/>
      <c r="E9" s="281"/>
      <c r="F9" s="281"/>
      <c r="G9" s="281"/>
      <c r="H9" s="281"/>
      <c r="I9" s="281"/>
      <c r="J9" s="281"/>
      <c r="K9" s="281"/>
      <c r="L9" s="281"/>
    </row>
    <row r="10" spans="1:28" s="157" customFormat="1" ht="12" customHeight="1" x14ac:dyDescent="0.25"/>
    <row r="11" spans="1:28" ht="41.25" customHeight="1" x14ac:dyDescent="0.25">
      <c r="B11" s="163" t="s">
        <v>67</v>
      </c>
      <c r="C11" s="163" t="s">
        <v>68</v>
      </c>
      <c r="D11" s="164" t="s">
        <v>66</v>
      </c>
      <c r="E11" s="165" t="s">
        <v>95</v>
      </c>
      <c r="F11" s="166" t="s">
        <v>147</v>
      </c>
      <c r="G11" s="164" t="s">
        <v>64</v>
      </c>
      <c r="H11" s="164" t="s">
        <v>164</v>
      </c>
      <c r="I11" s="164" t="s">
        <v>124</v>
      </c>
      <c r="J11" s="164" t="s">
        <v>234</v>
      </c>
    </row>
    <row r="12" spans="1:28" x14ac:dyDescent="0.25">
      <c r="B12" s="167" t="str">
        <f>IF(Hypothèses!B9&lt;&gt;0,Hypothèses!B9,"")</f>
        <v/>
      </c>
      <c r="C12" s="167" t="str">
        <f>IF('TCO Véhicules'!E13&lt;&gt;0,'TCO Véhicules'!E13,"")</f>
        <v/>
      </c>
      <c r="D12" s="168">
        <f>Hypothèses!C9</f>
        <v>0</v>
      </c>
      <c r="E12" s="254">
        <f>Hypothèses!D9</f>
        <v>0</v>
      </c>
      <c r="F12" s="155"/>
      <c r="G12" s="169">
        <f>IF($B12="",0,IF('TCO Véhicules'!E27&gt;0,'TCO Véhicules'!E27,'TCO Véhicules'!D27)*$D12*$E12/100)</f>
        <v>0</v>
      </c>
      <c r="H12" s="170">
        <f>IFERROR(IF(Hypothèses!G9&gt;0,Hypothèses!G9,Hypothèses!E9)*E12*D12/100,0)</f>
        <v>0</v>
      </c>
      <c r="I12" s="171">
        <f>IF(B12="",0,IF('TCO Véhicules'!G28&gt;0,'TCO Véhicules'!G28,'TCO Véhicules'!F28)*D12*E12/100)</f>
        <v>0</v>
      </c>
      <c r="J12" s="248">
        <f>(G12*Sources!$D$74-I12*Sources!$D$75-H12*(IF($F$4=Sources!$C$66,'GES évités'!$H$4*Sources!$D$65+(1-'GES évités'!$H$4)*Sources!$D$66,VLOOKUP($F$4,Sources!$C$65:$D$69,2,FALSE))+$F12*VLOOKUP($I$4,Sources!$C$70:$D$73,2,FALSE)/100))/1000</f>
        <v>0</v>
      </c>
      <c r="S12" s="173"/>
      <c r="T12" s="173"/>
      <c r="U12" s="173"/>
      <c r="V12" s="173"/>
      <c r="W12" s="173"/>
      <c r="X12" s="173"/>
      <c r="Y12" s="173"/>
      <c r="Z12" s="173"/>
      <c r="AA12" s="173"/>
      <c r="AB12" s="173"/>
    </row>
    <row r="13" spans="1:28" x14ac:dyDescent="0.25">
      <c r="B13" s="167" t="str">
        <f>IF(Hypothèses!B10&lt;&gt;0,Hypothèses!B10,"")</f>
        <v/>
      </c>
      <c r="C13" s="167" t="str">
        <f>IF('TCO Véhicules'!E47&lt;&gt;0,'TCO Véhicules'!E47,"")</f>
        <v/>
      </c>
      <c r="D13" s="168">
        <f>Hypothèses!C10</f>
        <v>0</v>
      </c>
      <c r="E13" s="254">
        <f>Hypothèses!D10</f>
        <v>0</v>
      </c>
      <c r="F13" s="155"/>
      <c r="G13" s="169">
        <f>IF($B13="",0,IF('TCO Véhicules'!E61&gt;0,'TCO Véhicules'!E61,'TCO Véhicules'!D61)*$D13*$E13/100)</f>
        <v>0</v>
      </c>
      <c r="H13" s="170">
        <f>IFERROR(IF(Hypothèses!G10&gt;0,Hypothèses!G10,Hypothèses!E10)*E13*D13/100,0)</f>
        <v>0</v>
      </c>
      <c r="I13" s="171">
        <f>IF($B13="",0,IF('TCO Véhicules'!G62&gt;0,'TCO Véhicules'!G62,'TCO Véhicules'!F62)*$D13*$E13/100)</f>
        <v>0</v>
      </c>
      <c r="J13" s="172">
        <f>(G13*Sources!$D$74-I13*Sources!$D$75-H13*(IF($F$4=Sources!$C$66,'GES évités'!$H$4*Sources!$D$65+(1-'GES évités'!$H$4)*Sources!$D$66,VLOOKUP($F$4,Sources!$C$65:$D$69,2,FALSE))+$F13*VLOOKUP($I$4,Sources!$C$70:$D$73,2,FALSE)/100))/1000</f>
        <v>0</v>
      </c>
      <c r="S13" s="173"/>
      <c r="T13" s="173"/>
      <c r="U13" s="173"/>
      <c r="V13" s="173"/>
      <c r="W13" s="173"/>
      <c r="X13" s="173"/>
      <c r="Y13" s="173"/>
      <c r="Z13" s="173"/>
      <c r="AA13" s="173"/>
      <c r="AB13" s="173"/>
    </row>
    <row r="14" spans="1:28" x14ac:dyDescent="0.25">
      <c r="B14" s="167" t="str">
        <f>IF(Hypothèses!B11&lt;&gt;0,Hypothèses!B11,"")</f>
        <v/>
      </c>
      <c r="C14" s="167" t="str">
        <f>IF('TCO Véhicules'!E81&lt;&gt;0,'TCO Véhicules'!E81,"")</f>
        <v/>
      </c>
      <c r="D14" s="168">
        <f>Hypothèses!C11</f>
        <v>0</v>
      </c>
      <c r="E14" s="254">
        <f>Hypothèses!D11</f>
        <v>0</v>
      </c>
      <c r="F14" s="155"/>
      <c r="G14" s="169">
        <f>IF($B14="",0,IF('TCO Véhicules'!E95&gt;0,'TCO Véhicules'!E95,'TCO Véhicules'!D95)*$D14*$E14/100)</f>
        <v>0</v>
      </c>
      <c r="H14" s="170">
        <f>IFERROR(IF(Hypothèses!G11&gt;0,Hypothèses!G11,Hypothèses!E11)*E14*D14/100,0)</f>
        <v>0</v>
      </c>
      <c r="I14" s="171">
        <f>IF($B14="",0,IF('TCO Véhicules'!G96&gt;0,'TCO Véhicules'!G96,'TCO Véhicules'!F96)*$D14*$E14/100)</f>
        <v>0</v>
      </c>
      <c r="J14" s="172">
        <f>(G14*Sources!$D$74-I14*Sources!$D$75-H14*(IF($F$4=Sources!$C$66,'GES évités'!$H$4*Sources!$D$65+(1-'GES évités'!$H$4)*Sources!$D$66,VLOOKUP($F$4,Sources!$C$65:$D$69,2,FALSE))+$F14*VLOOKUP($I$4,Sources!$C$70:$D$73,2,FALSE)/100))/1000</f>
        <v>0</v>
      </c>
      <c r="S14" s="173"/>
      <c r="T14" s="173"/>
      <c r="U14" s="173"/>
      <c r="V14" s="173"/>
      <c r="W14" s="173"/>
      <c r="X14" s="173"/>
      <c r="Y14" s="173"/>
      <c r="Z14" s="173"/>
      <c r="AA14" s="173"/>
      <c r="AB14" s="173"/>
    </row>
    <row r="15" spans="1:28" x14ac:dyDescent="0.25">
      <c r="B15" s="167" t="str">
        <f>IF(Hypothèses!B12&lt;&gt;0,Hypothèses!B12,"")</f>
        <v/>
      </c>
      <c r="C15" s="167" t="str">
        <f>IF('TCO Véhicules'!E115&lt;&gt;0,'TCO Véhicules'!E115,"")</f>
        <v/>
      </c>
      <c r="D15" s="168">
        <f>Hypothèses!C12</f>
        <v>0</v>
      </c>
      <c r="E15" s="254">
        <f>Hypothèses!D12</f>
        <v>0</v>
      </c>
      <c r="F15" s="155"/>
      <c r="G15" s="169">
        <f>IF($B15="",0,IF('TCO Véhicules'!E129&gt;0,'TCO Véhicules'!E129,'TCO Véhicules'!D129)*$D15*$E15/100)</f>
        <v>0</v>
      </c>
      <c r="H15" s="170">
        <f>IFERROR(IF(Hypothèses!G12&gt;0,Hypothèses!G12,Hypothèses!E12)*E15*D15/100,0)</f>
        <v>0</v>
      </c>
      <c r="I15" s="171">
        <f>IF($B15="",0,IF('TCO Véhicules'!G130&gt;0,'TCO Véhicules'!G130,'TCO Véhicules'!F130)*$D15*$E15/100)</f>
        <v>0</v>
      </c>
      <c r="J15" s="172">
        <f>(G15*Sources!$D$74-I15*Sources!$D$75-H15*(IF($F$4=Sources!$C$66,'GES évités'!$H$4*Sources!$D$65+(1-'GES évités'!$H$4)*Sources!$D$66,VLOOKUP($F$4,Sources!$C$65:$D$69,2,FALSE))+$F15*VLOOKUP($I$4,Sources!$C$70:$D$73,2,FALSE)/100))/1000</f>
        <v>0</v>
      </c>
      <c r="S15" s="173"/>
      <c r="T15" s="173"/>
      <c r="U15" s="173"/>
      <c r="V15" s="173"/>
      <c r="W15" s="173"/>
      <c r="X15" s="173"/>
      <c r="Y15" s="173"/>
      <c r="Z15" s="173"/>
      <c r="AA15" s="173"/>
      <c r="AB15" s="173"/>
    </row>
    <row r="16" spans="1:28" x14ac:dyDescent="0.25">
      <c r="B16" s="167" t="str">
        <f>IF(Hypothèses!B13&lt;&gt;0,Hypothèses!B13,"")</f>
        <v/>
      </c>
      <c r="C16" s="167" t="str">
        <f>IF('TCO Véhicules'!E149&lt;&gt;0,'TCO Véhicules'!E149,"")</f>
        <v/>
      </c>
      <c r="D16" s="168">
        <f>Hypothèses!C13</f>
        <v>0</v>
      </c>
      <c r="E16" s="254">
        <f>Hypothèses!D13</f>
        <v>0</v>
      </c>
      <c r="F16" s="155"/>
      <c r="G16" s="169">
        <f>IF($B16="",0,IF('TCO Véhicules'!E163&gt;0,'TCO Véhicules'!E163,'TCO Véhicules'!D163)*$D16*$E16/100)</f>
        <v>0</v>
      </c>
      <c r="H16" s="170">
        <f>IFERROR(IF(Hypothèses!G13&gt;0,Hypothèses!G13,Hypothèses!E13)*E16*D16/100,0)</f>
        <v>0</v>
      </c>
      <c r="I16" s="171">
        <f>IF($B16="",0,IF('TCO Véhicules'!G164&gt;0,'TCO Véhicules'!G164,'TCO Véhicules'!F164)*$D16*$E16/100)</f>
        <v>0</v>
      </c>
      <c r="J16" s="172">
        <f>(G16*Sources!$D$74-I16*Sources!$D$75-H16*(IF($F$4=Sources!$C$66,'GES évités'!$H$4*Sources!$D$65+(1-'GES évités'!$H$4)*Sources!$D$66,VLOOKUP($F$4,Sources!$C$65:$D$69,2,FALSE))+$F16*VLOOKUP($I$4,Sources!$C$70:$D$73,2,FALSE)/100))/1000</f>
        <v>0</v>
      </c>
      <c r="S16" s="173"/>
      <c r="T16" s="173"/>
      <c r="U16" s="173"/>
      <c r="V16" s="173"/>
      <c r="W16" s="173"/>
      <c r="X16" s="173"/>
      <c r="Y16" s="173"/>
      <c r="Z16" s="173"/>
      <c r="AA16" s="173"/>
      <c r="AB16" s="173"/>
    </row>
    <row r="17" spans="2:28" x14ac:dyDescent="0.25">
      <c r="B17" s="167" t="str">
        <f>IF(Hypothèses!B14&lt;&gt;0,Hypothèses!B14,"")</f>
        <v/>
      </c>
      <c r="C17" s="167" t="str">
        <f>IF('TCO Véhicules'!E183&lt;&gt;0,'TCO Véhicules'!E183,"")</f>
        <v/>
      </c>
      <c r="D17" s="168">
        <f>Hypothèses!C14</f>
        <v>0</v>
      </c>
      <c r="E17" s="254">
        <f>Hypothèses!D14</f>
        <v>0</v>
      </c>
      <c r="F17" s="155"/>
      <c r="G17" s="169">
        <f>IF($B17="",0,IF('TCO Véhicules'!E197&gt;0,'TCO Véhicules'!E197,'TCO Véhicules'!D197)*$D17*$E17/100)</f>
        <v>0</v>
      </c>
      <c r="H17" s="170">
        <f>IFERROR(IF(Hypothèses!G14&gt;0,Hypothèses!G14,Hypothèses!E14)*E17*D17/100,0)</f>
        <v>0</v>
      </c>
      <c r="I17" s="171">
        <f>IF($B17="",0,IF('TCO Véhicules'!G198&gt;0,'TCO Véhicules'!G198,'TCO Véhicules'!F198)*$D17*$E17/100)</f>
        <v>0</v>
      </c>
      <c r="J17" s="172">
        <f>(G17*Sources!$D$74-I17*Sources!$D$75-H17*(IF($F$4=Sources!$C$66,'GES évités'!$H$4*Sources!$D$65+(1-'GES évités'!$H$4)*Sources!$D$66,VLOOKUP($F$4,Sources!$C$65:$D$69,2,FALSE))+$F17*VLOOKUP($I$4,Sources!$C$70:$D$73,2,FALSE)/100))/1000</f>
        <v>0</v>
      </c>
      <c r="S17" s="173"/>
    </row>
    <row r="18" spans="2:28" x14ac:dyDescent="0.25">
      <c r="B18" s="167" t="str">
        <f>IF(Hypothèses!B15&lt;&gt;0,Hypothèses!B15,"")</f>
        <v/>
      </c>
      <c r="C18" s="167" t="str">
        <f>IF('TCO Véhicules'!E217&lt;&gt;0,'TCO Véhicules'!E217,"")</f>
        <v/>
      </c>
      <c r="D18" s="168">
        <f>Hypothèses!C15</f>
        <v>0</v>
      </c>
      <c r="E18" s="254">
        <f>Hypothèses!D15</f>
        <v>0</v>
      </c>
      <c r="F18" s="155"/>
      <c r="G18" s="169">
        <f>IF($B18="",0,IF('TCO Véhicules'!E231&gt;0,'TCO Véhicules'!E231,'TCO Véhicules'!D231)*$D18*$E18/100)</f>
        <v>0</v>
      </c>
      <c r="H18" s="170">
        <f>IFERROR(IF(Hypothèses!G15&gt;0,Hypothèses!G15,Hypothèses!E15)*E18*D18/100,0)</f>
        <v>0</v>
      </c>
      <c r="I18" s="171">
        <f>IF($B18="",0,IF('TCO Véhicules'!G232&gt;0,'TCO Véhicules'!G232,'TCO Véhicules'!F232)*$D18*$E18/100)</f>
        <v>0</v>
      </c>
      <c r="J18" s="172">
        <f>(G18*Sources!$D$74-I18*Sources!$D$75-H18*(IF($F$4=Sources!$C$66,'GES évités'!$H$4*Sources!$D$65+(1-'GES évités'!$H$4)*Sources!$D$66,VLOOKUP($F$4,Sources!$C$65:$D$69,2,FALSE))+$F18*VLOOKUP($I$4,Sources!$C$70:$D$73,2,FALSE)/100))/1000</f>
        <v>0</v>
      </c>
      <c r="S18" s="173"/>
    </row>
    <row r="19" spans="2:28" x14ac:dyDescent="0.25">
      <c r="B19" s="167" t="str">
        <f>IF(Hypothèses!B16&lt;&gt;0,Hypothèses!B16,"")</f>
        <v/>
      </c>
      <c r="C19" s="167" t="str">
        <f>IF('TCO Véhicules'!E251&lt;&gt;0,'TCO Véhicules'!E251,"")</f>
        <v/>
      </c>
      <c r="D19" s="168">
        <f>Hypothèses!C16</f>
        <v>0</v>
      </c>
      <c r="E19" s="254">
        <f>Hypothèses!D16</f>
        <v>0</v>
      </c>
      <c r="F19" s="155"/>
      <c r="G19" s="169">
        <f>IF($B19="",0,IF('TCO Véhicules'!E265&gt;0,'TCO Véhicules'!E265,'TCO Véhicules'!D265)*$D19*$E19/100)</f>
        <v>0</v>
      </c>
      <c r="H19" s="170">
        <f>IFERROR(IF(Hypothèses!G16&gt;0,Hypothèses!G16,Hypothèses!E16)*E19*D19/100,0)</f>
        <v>0</v>
      </c>
      <c r="I19" s="171">
        <f>IF($B19="",0,IF('TCO Véhicules'!G266&gt;0,'TCO Véhicules'!G266,'TCO Véhicules'!F266)*$D19*$E19/100)</f>
        <v>0</v>
      </c>
      <c r="J19" s="172">
        <f>(G19*Sources!$D$74-I19*Sources!$D$75-H19*(IF($F$4=Sources!$C$66,'GES évités'!$H$4*Sources!$D$65+(1-'GES évités'!$H$4)*Sources!$D$66,VLOOKUP($F$4,Sources!$C$65:$D$69,2,FALSE))+$F19*VLOOKUP($I$4,Sources!$C$70:$D$73,2,FALSE)/100))/1000</f>
        <v>0</v>
      </c>
      <c r="S19" s="173"/>
    </row>
    <row r="20" spans="2:28" x14ac:dyDescent="0.25">
      <c r="B20" s="167" t="str">
        <f>IF(Hypothèses!B17&lt;&gt;0,Hypothèses!B17,"")</f>
        <v/>
      </c>
      <c r="C20" s="167" t="str">
        <f>IF('TCO Véhicules'!E285&lt;&gt;0,'TCO Véhicules'!E285,"")</f>
        <v/>
      </c>
      <c r="D20" s="168">
        <f>Hypothèses!C17</f>
        <v>0</v>
      </c>
      <c r="E20" s="254">
        <f>Hypothèses!D17</f>
        <v>0</v>
      </c>
      <c r="F20" s="155"/>
      <c r="G20" s="169">
        <f>IF($B20="",0,IF('TCO Véhicules'!E299&gt;0,'TCO Véhicules'!E299,'TCO Véhicules'!D299)*$D20*$E20/100)</f>
        <v>0</v>
      </c>
      <c r="H20" s="170">
        <f>IFERROR(IF(Hypothèses!G17&gt;0,Hypothèses!G17,Hypothèses!E17)*E20*D20/100,0)</f>
        <v>0</v>
      </c>
      <c r="I20" s="171">
        <f>IF($B20="",0,IF('TCO Véhicules'!G300&gt;0,'TCO Véhicules'!G300,'TCO Véhicules'!F300)*$D20*$E20/100)</f>
        <v>0</v>
      </c>
      <c r="J20" s="172">
        <f>(G20*Sources!$D$74-I20*Sources!$D$75-H20*(IF($F$4=Sources!$C$66,'GES évités'!$H$4*Sources!$D$65+(1-'GES évités'!$H$4)*Sources!$D$66,VLOOKUP($F$4,Sources!$C$65:$D$69,2,FALSE))+$F20*VLOOKUP($I$4,Sources!$C$70:$D$73,2,FALSE)/100))/1000</f>
        <v>0</v>
      </c>
      <c r="S20" s="173"/>
    </row>
    <row r="21" spans="2:28" x14ac:dyDescent="0.25">
      <c r="B21" s="167" t="str">
        <f>IF(Hypothèses!B18&lt;&gt;0,Hypothèses!B18,"")</f>
        <v/>
      </c>
      <c r="C21" s="240" t="str">
        <f>IF('TCO Véhicules'!E319&lt;&gt;0,'TCO Véhicules'!E319,"")</f>
        <v/>
      </c>
      <c r="D21" s="168">
        <f>Hypothèses!C18</f>
        <v>0</v>
      </c>
      <c r="E21" s="254">
        <f>Hypothèses!D18</f>
        <v>0</v>
      </c>
      <c r="F21" s="155"/>
      <c r="G21" s="169">
        <f>IF($B21="",0,IF('TCO Véhicules'!E333&gt;0,'TCO Véhicules'!E333,'TCO Véhicules'!D333)*$D21*$E21/100)</f>
        <v>0</v>
      </c>
      <c r="H21" s="170">
        <f>IFERROR(IF(Hypothèses!G18&gt;0,Hypothèses!G18,Hypothèses!E18)*E21*D21/100,0)</f>
        <v>0</v>
      </c>
      <c r="I21" s="171">
        <f>IF($B21="",0,IF('TCO Véhicules'!G334&gt;0,'TCO Véhicules'!G334,'TCO Véhicules'!F334)*$D21*$E21/100)</f>
        <v>0</v>
      </c>
      <c r="J21" s="172">
        <f>(G21*Sources!$D$74-I21*Sources!$D$75-H21*(IF($F$4=Sources!$C$66,'GES évités'!$H$4*Sources!$D$65+(1-'GES évités'!$H$4)*Sources!$D$66,VLOOKUP($F$4,Sources!$C$65:$D$69,2,FALSE))+$F21*VLOOKUP($I$4,Sources!$C$70:$D$73,2,FALSE)/100))/1000</f>
        <v>0</v>
      </c>
      <c r="S21" s="173"/>
    </row>
    <row r="22" spans="2:28" x14ac:dyDescent="0.25">
      <c r="B22" s="167" t="str">
        <f>IF(Hypothèses!B19&lt;&gt;0,Hypothèses!B19,"")</f>
        <v/>
      </c>
      <c r="C22" s="239" t="str">
        <f>IF('TCO Véhicules'!E353&lt;&gt;0,'TCO Véhicules'!E353,"")</f>
        <v/>
      </c>
      <c r="D22" s="168">
        <f>Hypothèses!C19</f>
        <v>0</v>
      </c>
      <c r="E22" s="254">
        <f>Hypothèses!D19</f>
        <v>0</v>
      </c>
      <c r="F22" s="241"/>
      <c r="G22" s="169">
        <f>IF($B22="",0,IF('TCO Véhicules'!E367&gt;0,'TCO Véhicules'!E367,'TCO Véhicules'!D367)*$D22*$E22/100)</f>
        <v>0</v>
      </c>
      <c r="H22" s="170">
        <f>IFERROR(IF(Hypothèses!G19&gt;0,Hypothèses!G19,Hypothèses!E19)*E22*D22/100,0)</f>
        <v>0</v>
      </c>
      <c r="I22" s="171">
        <f>IF($B22="",0,IF('TCO Véhicules'!G368&gt;0,'TCO Véhicules'!G368,'TCO Véhicules'!F368)*$D22*$E22/100)</f>
        <v>0</v>
      </c>
      <c r="J22" s="172">
        <f>(G22*Sources!$D$74-I22*Sources!$D$75-H22*(IF($F$4=Sources!$C$66,'GES évités'!$H$4*Sources!$D$65+(1-'GES évités'!$H$4)*Sources!$D$66,VLOOKUP($F$4,Sources!$C$65:$D$69,2,FALSE))+$F22*VLOOKUP($I$4,Sources!$C$70:$D$73,2,FALSE)/100))/1000</f>
        <v>0</v>
      </c>
      <c r="S22" s="173"/>
      <c r="T22" s="173"/>
      <c r="U22" s="173"/>
      <c r="V22" s="173"/>
      <c r="W22" s="173"/>
      <c r="X22" s="173"/>
      <c r="Y22" s="173"/>
      <c r="Z22" s="173"/>
      <c r="AA22" s="173"/>
      <c r="AB22" s="173"/>
    </row>
    <row r="23" spans="2:28" x14ac:dyDescent="0.25">
      <c r="B23" s="167" t="str">
        <f>IF(Hypothèses!B20&lt;&gt;0,Hypothèses!B20,"")</f>
        <v/>
      </c>
      <c r="C23" s="167" t="str">
        <f>IF('TCO Véhicules'!E387&lt;&gt;0,'TCO Véhicules'!E387,"")</f>
        <v/>
      </c>
      <c r="D23" s="168">
        <f>Hypothèses!C20</f>
        <v>0</v>
      </c>
      <c r="E23" s="254">
        <f>Hypothèses!D20</f>
        <v>0</v>
      </c>
      <c r="F23" s="155"/>
      <c r="G23" s="169">
        <f>IF($B23="",0,IF('TCO Véhicules'!E401&gt;0,'TCO Véhicules'!E401,'TCO Véhicules'!D401)*$D23*$E23/100)</f>
        <v>0</v>
      </c>
      <c r="H23" s="170">
        <f>IFERROR(IF(Hypothèses!G20&gt;0,Hypothèses!G20,Hypothèses!E20)*E23*D23/100,0)</f>
        <v>0</v>
      </c>
      <c r="I23" s="171">
        <f>IF($B23="",0,IF('TCO Véhicules'!G402&gt;0,'TCO Véhicules'!G402,'TCO Véhicules'!F402)*$D23*$E23/100)</f>
        <v>0</v>
      </c>
      <c r="J23" s="172">
        <f>(G23*Sources!$D$74-I23*Sources!$D$75-H23*(IF($F$4=Sources!$C$66,'GES évités'!$H$4*Sources!$D$65+(1-'GES évités'!$H$4)*Sources!$D$66,VLOOKUP($F$4,Sources!$C$65:$D$69,2,FALSE))+$F23*VLOOKUP($I$4,Sources!$C$70:$D$73,2,FALSE)/100))/1000</f>
        <v>0</v>
      </c>
      <c r="S23" s="173"/>
      <c r="T23" s="173"/>
      <c r="U23" s="173"/>
      <c r="V23" s="173"/>
      <c r="W23" s="173"/>
      <c r="X23" s="173"/>
      <c r="Y23" s="173"/>
      <c r="Z23" s="173"/>
      <c r="AA23" s="173"/>
      <c r="AB23" s="173"/>
    </row>
    <row r="24" spans="2:28" x14ac:dyDescent="0.25">
      <c r="B24" s="167" t="str">
        <f>IF(Hypothèses!B21&lt;&gt;0,Hypothèses!B21,"")</f>
        <v/>
      </c>
      <c r="C24" s="167" t="str">
        <f>IF('TCO Véhicules'!E421&lt;&gt;0,'TCO Véhicules'!E421,"")</f>
        <v/>
      </c>
      <c r="D24" s="168">
        <f>Hypothèses!C21</f>
        <v>0</v>
      </c>
      <c r="E24" s="254">
        <f>Hypothèses!D21</f>
        <v>0</v>
      </c>
      <c r="F24" s="155"/>
      <c r="G24" s="169">
        <f>IF($B24="",0,IF('TCO Véhicules'!E435&gt;0,'TCO Véhicules'!E435,'TCO Véhicules'!D435)*$D24*$E24/100)</f>
        <v>0</v>
      </c>
      <c r="H24" s="170">
        <f>IFERROR(IF(Hypothèses!G21&gt;0,Hypothèses!G21,Hypothèses!E21)*E24*D24/100,0)</f>
        <v>0</v>
      </c>
      <c r="I24" s="171">
        <f>IF($B24="",0,IF('TCO Véhicules'!G436&gt;0,'TCO Véhicules'!G436,'TCO Véhicules'!F436)*$D24*$E24/100)</f>
        <v>0</v>
      </c>
      <c r="J24" s="172">
        <f>(G24*Sources!$D$74-I24*Sources!$D$75-H24*(IF($F$4=Sources!$C$66,'GES évités'!$H$4*Sources!$D$65+(1-'GES évités'!$H$4)*Sources!$D$66,VLOOKUP($F$4,Sources!$C$65:$D$69,2,FALSE))+$F24*VLOOKUP($I$4,Sources!$C$70:$D$73,2,FALSE)/100))/1000</f>
        <v>0</v>
      </c>
      <c r="S24" s="173"/>
      <c r="T24" s="173"/>
      <c r="U24" s="173"/>
      <c r="V24" s="173"/>
      <c r="W24" s="173"/>
      <c r="X24" s="173"/>
      <c r="Y24" s="173"/>
      <c r="Z24" s="173"/>
      <c r="AA24" s="173"/>
      <c r="AB24" s="173"/>
    </row>
    <row r="25" spans="2:28" x14ac:dyDescent="0.25">
      <c r="B25" s="167" t="str">
        <f>IF(Hypothèses!B22&lt;&gt;0,Hypothèses!B22,"")</f>
        <v/>
      </c>
      <c r="C25" s="167" t="str">
        <f>IF('TCO Véhicules'!E455&lt;&gt;0,'TCO Véhicules'!E455,"")</f>
        <v/>
      </c>
      <c r="D25" s="168">
        <f>Hypothèses!C22</f>
        <v>0</v>
      </c>
      <c r="E25" s="254">
        <f>Hypothèses!D22</f>
        <v>0</v>
      </c>
      <c r="F25" s="155"/>
      <c r="G25" s="169">
        <f>IF($B25="",0,IF('TCO Véhicules'!E469&gt;0,'TCO Véhicules'!E469,'TCO Véhicules'!D469)*$D25*$E25/100)</f>
        <v>0</v>
      </c>
      <c r="H25" s="170">
        <f>IFERROR(IF(Hypothèses!G22&gt;0,Hypothèses!G22,Hypothèses!E22)*E25*D25/100,0)</f>
        <v>0</v>
      </c>
      <c r="I25" s="171">
        <f>IF($B25="",0,IF('TCO Véhicules'!G470&gt;0,'TCO Véhicules'!G470,'TCO Véhicules'!F470)*$D25*$E25/100)</f>
        <v>0</v>
      </c>
      <c r="J25" s="172">
        <f>(G25*Sources!$D$74-I25*Sources!$D$75-H25*(IF($F$4=Sources!$C$66,'GES évités'!$H$4*Sources!$D$65+(1-'GES évités'!$H$4)*Sources!$D$66,VLOOKUP($F$4,Sources!$C$65:$D$69,2,FALSE))+$F25*VLOOKUP($I$4,Sources!$C$70:$D$73,2,FALSE)/100))/1000</f>
        <v>0</v>
      </c>
      <c r="S25" s="173"/>
      <c r="T25" s="173"/>
      <c r="U25" s="173"/>
      <c r="V25" s="173"/>
      <c r="W25" s="173"/>
      <c r="X25" s="173"/>
      <c r="Y25" s="173"/>
      <c r="Z25" s="173"/>
      <c r="AA25" s="173"/>
      <c r="AB25" s="173"/>
    </row>
    <row r="26" spans="2:28" x14ac:dyDescent="0.25">
      <c r="B26" s="167" t="str">
        <f>IF(Hypothèses!B23&lt;&gt;0,Hypothèses!B23,"")</f>
        <v/>
      </c>
      <c r="C26" s="167" t="str">
        <f>IF('TCO Véhicules'!E489&lt;&gt;0,'TCO Véhicules'!E489,"")</f>
        <v/>
      </c>
      <c r="D26" s="168">
        <f>Hypothèses!C23</f>
        <v>0</v>
      </c>
      <c r="E26" s="254">
        <f>Hypothèses!D23</f>
        <v>0</v>
      </c>
      <c r="F26" s="155"/>
      <c r="G26" s="169">
        <f>IF($B26="",0,IF('TCO Véhicules'!E503&gt;0,'TCO Véhicules'!E503,'TCO Véhicules'!D503)*$D26*$E26/100)</f>
        <v>0</v>
      </c>
      <c r="H26" s="170">
        <f>IFERROR(IF(Hypothèses!G23&gt;0,Hypothèses!G23,Hypothèses!E23)*E26*D26/100,0)</f>
        <v>0</v>
      </c>
      <c r="I26" s="171">
        <f>IF($B26="",0,IF('TCO Véhicules'!G504&gt;0,'TCO Véhicules'!G504,'TCO Véhicules'!F504)*$D26*$E26/100)</f>
        <v>0</v>
      </c>
      <c r="J26" s="172">
        <f>(G26*Sources!$D$74-I26*Sources!$D$75-H26*(IF($F$4=Sources!$C$66,'GES évités'!$H$4*Sources!$D$65+(1-'GES évités'!$H$4)*Sources!$D$66,VLOOKUP($F$4,Sources!$C$65:$D$69,2,FALSE))+$F26*VLOOKUP($I$4,Sources!$C$70:$D$73,2,FALSE)/100))/1000</f>
        <v>0</v>
      </c>
      <c r="S26" s="173"/>
      <c r="T26" s="173"/>
      <c r="U26" s="173"/>
      <c r="V26" s="173"/>
      <c r="W26" s="173"/>
      <c r="X26" s="173"/>
      <c r="Y26" s="173"/>
      <c r="Z26" s="173"/>
      <c r="AA26" s="173"/>
      <c r="AB26" s="173"/>
    </row>
    <row r="27" spans="2:28" x14ac:dyDescent="0.25">
      <c r="B27" s="167" t="str">
        <f>IF(Hypothèses!B24&lt;&gt;0,Hypothèses!B24,"")</f>
        <v/>
      </c>
      <c r="C27" s="167" t="str">
        <f>IF('TCO Véhicules'!E523&lt;&gt;0,'TCO Véhicules'!E523,"")</f>
        <v/>
      </c>
      <c r="D27" s="168">
        <f>Hypothèses!C24</f>
        <v>0</v>
      </c>
      <c r="E27" s="254">
        <f>Hypothèses!D24</f>
        <v>0</v>
      </c>
      <c r="F27" s="155"/>
      <c r="G27" s="169">
        <f>IF($B27="",0,IF('TCO Véhicules'!E537&gt;0,'TCO Véhicules'!E537,'TCO Véhicules'!D537)*$D27*$E27/100)</f>
        <v>0</v>
      </c>
      <c r="H27" s="170">
        <f>IFERROR(IF(Hypothèses!G24&gt;0,Hypothèses!G24,Hypothèses!E24)*E27*D27/100,0)</f>
        <v>0</v>
      </c>
      <c r="I27" s="171">
        <f>IF($B27="",0,IF('TCO Véhicules'!G538&gt;0,'TCO Véhicules'!G538,'TCO Véhicules'!F538)*$D27*$E27/100)</f>
        <v>0</v>
      </c>
      <c r="J27" s="172">
        <f>(G27*Sources!$D$74-I27*Sources!$D$75-H27*(IF($F$4=Sources!$C$66,'GES évités'!$H$4*Sources!$D$65+(1-'GES évités'!$H$4)*Sources!$D$66,VLOOKUP($F$4,Sources!$C$65:$D$69,2,FALSE))+$F27*VLOOKUP($I$4,Sources!$C$70:$D$73,2,FALSE)/100))/1000</f>
        <v>0</v>
      </c>
      <c r="S27" s="173"/>
    </row>
    <row r="28" spans="2:28" x14ac:dyDescent="0.25">
      <c r="B28" s="167" t="str">
        <f>IF(Hypothèses!B25&lt;&gt;0,Hypothèses!B25,"")</f>
        <v/>
      </c>
      <c r="C28" s="167" t="str">
        <f>IF('TCO Véhicules'!E557&lt;&gt;0,'TCO Véhicules'!E557,"")</f>
        <v/>
      </c>
      <c r="D28" s="168">
        <f>Hypothèses!C25</f>
        <v>0</v>
      </c>
      <c r="E28" s="254">
        <f>Hypothèses!D25</f>
        <v>0</v>
      </c>
      <c r="F28" s="155"/>
      <c r="G28" s="169">
        <f>IF($B28="",0,IF('TCO Véhicules'!E571&gt;0,'TCO Véhicules'!E571,'TCO Véhicules'!D571)*$D28*$E28/100)</f>
        <v>0</v>
      </c>
      <c r="H28" s="170">
        <f>IFERROR(IF(Hypothèses!G25&gt;0,Hypothèses!G25,Hypothèses!E25)*E28*D28/100,0)</f>
        <v>0</v>
      </c>
      <c r="I28" s="171">
        <f>IF($B28="",0,IF('TCO Véhicules'!G572&gt;0,'TCO Véhicules'!G572,'TCO Véhicules'!F572)*$D28*$E28/100)</f>
        <v>0</v>
      </c>
      <c r="J28" s="172">
        <f>(G28*Sources!$D$74-I28*Sources!$D$75-H28*(IF($F$4=Sources!$C$66,'GES évités'!$H$4*Sources!$D$65+(1-'GES évités'!$H$4)*Sources!$D$66,VLOOKUP($F$4,Sources!$C$65:$D$69,2,FALSE))+$F28*VLOOKUP($I$4,Sources!$C$70:$D$73,2,FALSE)/100))/1000</f>
        <v>0</v>
      </c>
      <c r="S28" s="173"/>
    </row>
    <row r="29" spans="2:28" x14ac:dyDescent="0.25">
      <c r="B29" s="167" t="str">
        <f>IF(Hypothèses!B26&lt;&gt;0,Hypothèses!B26,"")</f>
        <v/>
      </c>
      <c r="C29" s="167" t="str">
        <f>IF('TCO Véhicules'!E591&lt;&gt;0,'TCO Véhicules'!E591,"")</f>
        <v/>
      </c>
      <c r="D29" s="168">
        <f>Hypothèses!C26</f>
        <v>0</v>
      </c>
      <c r="E29" s="254">
        <f>Hypothèses!D26</f>
        <v>0</v>
      </c>
      <c r="F29" s="155"/>
      <c r="G29" s="169">
        <f>IF($B29="",0,IF('TCO Véhicules'!E605&gt;0,'TCO Véhicules'!E605,'TCO Véhicules'!D605)*$D29*$E29/100)</f>
        <v>0</v>
      </c>
      <c r="H29" s="170">
        <f>IFERROR(IF(Hypothèses!G26&gt;0,Hypothèses!G26,Hypothèses!E26)*E29*D29/100,0)</f>
        <v>0</v>
      </c>
      <c r="I29" s="171">
        <f>IF($B29="",0,IF('TCO Véhicules'!G606&gt;0,'TCO Véhicules'!G606,'TCO Véhicules'!F606)*$D29*$E29/100)</f>
        <v>0</v>
      </c>
      <c r="J29" s="172">
        <f>(G29*Sources!$D$74-I29*Sources!$D$75-H29*(IF($F$4=Sources!$C$66,'GES évités'!$H$4*Sources!$D$65+(1-'GES évités'!$H$4)*Sources!$D$66,VLOOKUP($F$4,Sources!$C$65:$D$69,2,FALSE))+$F29*VLOOKUP($I$4,Sources!$C$70:$D$73,2,FALSE)/100))/1000</f>
        <v>0</v>
      </c>
      <c r="S29" s="173"/>
    </row>
    <row r="30" spans="2:28" x14ac:dyDescent="0.25">
      <c r="B30" s="167" t="str">
        <f>IF(Hypothèses!B27&lt;&gt;0,Hypothèses!B27,"")</f>
        <v/>
      </c>
      <c r="C30" s="167" t="str">
        <f>IF('TCO Véhicules'!E625&lt;&gt;0,'TCO Véhicules'!E625,"")</f>
        <v/>
      </c>
      <c r="D30" s="168">
        <f>Hypothèses!C27</f>
        <v>0</v>
      </c>
      <c r="E30" s="254">
        <f>Hypothèses!D27</f>
        <v>0</v>
      </c>
      <c r="F30" s="155"/>
      <c r="G30" s="169">
        <f>IF($B30="",0,IF('TCO Véhicules'!E639&gt;0,'TCO Véhicules'!E639,'TCO Véhicules'!D639)*$D30*$E30/100)</f>
        <v>0</v>
      </c>
      <c r="H30" s="170">
        <f>IFERROR(IF(Hypothèses!G27&gt;0,Hypothèses!G27,Hypothèses!E27)*E30*D30/100,0)</f>
        <v>0</v>
      </c>
      <c r="I30" s="171">
        <f>IF($B30="",0,IF('TCO Véhicules'!G640&gt;0,'TCO Véhicules'!G640,'TCO Véhicules'!F640)*$D30*$E30/100)</f>
        <v>0</v>
      </c>
      <c r="J30" s="172">
        <f>(G30*Sources!$D$74-I30*Sources!$D$75-H30*(IF($F$4=Sources!$C$66,'GES évités'!$H$4*Sources!$D$65+(1-'GES évités'!$H$4)*Sources!$D$66,VLOOKUP($F$4,Sources!$C$65:$D$69,2,FALSE))+$F30*VLOOKUP($I$4,Sources!$C$70:$D$73,2,FALSE)/100))/1000</f>
        <v>0</v>
      </c>
      <c r="S30" s="173"/>
    </row>
    <row r="31" spans="2:28" ht="15.75" thickBot="1" x14ac:dyDescent="0.3">
      <c r="B31" s="243" t="str">
        <f>IF(Hypothèses!B28&lt;&gt;0,Hypothèses!B28,"")</f>
        <v/>
      </c>
      <c r="C31" s="243" t="str">
        <f>IF('TCO Véhicules'!E659&lt;&gt;0,'TCO Véhicules'!E659,"")</f>
        <v/>
      </c>
      <c r="D31" s="244">
        <f>Hypothèses!C28</f>
        <v>0</v>
      </c>
      <c r="E31" s="193">
        <f>Hypothèses!D28</f>
        <v>0</v>
      </c>
      <c r="F31" s="156"/>
      <c r="G31" s="194">
        <f>IF($B31="",0,IF('TCO Véhicules'!E673&gt;0,'TCO Véhicules'!E673,'TCO Véhicules'!D673)*$D31*$E31/100)</f>
        <v>0</v>
      </c>
      <c r="H31" s="174">
        <f>IFERROR(IF(Hypothèses!G28&gt;0,Hypothèses!G28,Hypothèses!E28)*E31*D31/100,0)</f>
        <v>0</v>
      </c>
      <c r="I31" s="245">
        <f>IF($B31="",0,IF('TCO Véhicules'!G674&gt;0,'TCO Véhicules'!G674,'TCO Véhicules'!F674)*$D31*$E31/100)</f>
        <v>0</v>
      </c>
      <c r="J31" s="246">
        <f>(G31*Sources!$D$74-I31*Sources!$D$75-H31*(IF($F$4=Sources!$C$66,'GES évités'!$H$4*Sources!$D$65+(1-'GES évités'!$H$4)*Sources!$D$66,VLOOKUP($F$4,Sources!$C$65:$D$69,2,FALSE))+$F31*VLOOKUP($I$4,Sources!$C$70:$D$73,2,FALSE)/100))/1000</f>
        <v>0</v>
      </c>
      <c r="S31" s="173"/>
    </row>
    <row r="32" spans="2:28" x14ac:dyDescent="0.25">
      <c r="B32" s="652" t="s">
        <v>148</v>
      </c>
      <c r="C32" s="652"/>
      <c r="D32" s="652"/>
      <c r="E32" s="175">
        <f>SUM(E12:E31)</f>
        <v>0</v>
      </c>
      <c r="F32" s="175"/>
      <c r="G32" s="176">
        <f>SUM(G12:G31)</f>
        <v>0</v>
      </c>
      <c r="H32" s="177">
        <f>SUM(H12:H31)</f>
        <v>0</v>
      </c>
      <c r="I32" s="178">
        <f>SUM(I12:I31)</f>
        <v>0</v>
      </c>
      <c r="J32" s="242">
        <f>SUM(J12:J31)</f>
        <v>0</v>
      </c>
    </row>
    <row r="33" spans="1:12" ht="33.75" customHeight="1" x14ac:dyDescent="0.25">
      <c r="A33" s="157"/>
      <c r="B33" s="180"/>
      <c r="C33" s="180"/>
      <c r="D33" s="180"/>
      <c r="E33" s="181"/>
      <c r="F33" s="181"/>
      <c r="G33" s="182"/>
      <c r="H33" s="183"/>
      <c r="I33" s="184"/>
      <c r="J33" s="185"/>
      <c r="K33" s="157"/>
    </row>
    <row r="34" spans="1:12" s="157" customFormat="1" ht="21" x14ac:dyDescent="0.25">
      <c r="A34" s="282" t="s">
        <v>165</v>
      </c>
      <c r="B34" s="281"/>
      <c r="C34" s="281"/>
      <c r="D34" s="281"/>
      <c r="E34" s="281"/>
      <c r="F34" s="281"/>
      <c r="G34" s="281"/>
      <c r="H34" s="281"/>
      <c r="I34" s="281"/>
      <c r="J34" s="281"/>
      <c r="K34" s="281"/>
      <c r="L34" s="281"/>
    </row>
    <row r="35" spans="1:12" ht="15" customHeight="1" x14ac:dyDescent="0.25"/>
    <row r="36" spans="1:12" ht="37.5" customHeight="1" x14ac:dyDescent="0.25">
      <c r="B36" s="186" t="str">
        <f>Hypothèses!B32</f>
        <v>Nom du consommateur</v>
      </c>
      <c r="C36" s="187" t="str">
        <f>Hypothèses!C32</f>
        <v>Type d'usage</v>
      </c>
      <c r="D36" s="164" t="s">
        <v>162</v>
      </c>
      <c r="E36" s="166" t="s">
        <v>163</v>
      </c>
      <c r="F36" s="164" t="str">
        <f>G11</f>
        <v>Consommation diesel 
évitée</v>
      </c>
      <c r="G36" s="164" t="s">
        <v>166</v>
      </c>
      <c r="H36" s="164" t="s">
        <v>164</v>
      </c>
      <c r="I36" s="164" t="s">
        <v>63</v>
      </c>
    </row>
    <row r="37" spans="1:12" x14ac:dyDescent="0.25">
      <c r="B37" s="188" t="str">
        <f>IF(Hypothèses!B33&lt;&gt;0,Hypothèses!B33,"")</f>
        <v/>
      </c>
      <c r="C37" s="189" t="str">
        <f>IF(Hypothèses!C33&lt;&gt;0,Hypothèses!C33,"")</f>
        <v/>
      </c>
      <c r="D37" s="190" t="str">
        <f>IF(C37="","",IF(C37="Industrie","SMR","Groupe diesel"))</f>
        <v/>
      </c>
      <c r="E37" s="155"/>
      <c r="F37" s="250"/>
      <c r="G37" s="191">
        <f>IF(C37&lt;&gt;"Industrie",0,H37)</f>
        <v>0</v>
      </c>
      <c r="H37" s="170">
        <f>Hypothèses!D33</f>
        <v>0</v>
      </c>
      <c r="I37" s="249">
        <f>(F37*Sources!$D$74+G37*Sources!D$69-H37*(IF($F$4=Sources!$C$66,'GES évités'!$H$4*Sources!$D$65+(1-'GES évités'!$H$4)*Sources!$D$66,VLOOKUP($F$4,Sources!$C$65:$D$69,2,FALSE))+$E37*VLOOKUP($I$4,Sources!$C$70:$D$73,2,FALSE)/100))/1000</f>
        <v>0</v>
      </c>
    </row>
    <row r="38" spans="1:12" x14ac:dyDescent="0.25">
      <c r="B38" s="188" t="str">
        <f>IF(Hypothèses!B34&lt;&gt;0,Hypothèses!B34,"")</f>
        <v/>
      </c>
      <c r="C38" s="189" t="str">
        <f>IF(Hypothèses!C34&lt;&gt;0,Hypothèses!C34,"")</f>
        <v/>
      </c>
      <c r="D38" s="190" t="str">
        <f t="shared" ref="D38:D46" si="0">IF(C38="","",IF(C38="Industrie","SMR","Groupe diesel"))</f>
        <v/>
      </c>
      <c r="E38" s="155"/>
      <c r="F38" s="250"/>
      <c r="G38" s="191">
        <f t="shared" ref="G38:G46" si="1">IF(C38&lt;&gt;"Industrie",0,H38)</f>
        <v>0</v>
      </c>
      <c r="H38" s="170">
        <f>Hypothèses!D34</f>
        <v>0</v>
      </c>
      <c r="I38" s="172">
        <f>(F38*Sources!$D$74+G38*Sources!D$69-H38*(IF($F$4=Sources!$C$66,'GES évités'!$H$4*Sources!$D$65+(1-'GES évités'!$H$4)*Sources!$D$66,VLOOKUP($F$4,Sources!$C$65:$D$69,2,FALSE))+$E38*VLOOKUP($I$4,Sources!$C$70:$D$73,2,FALSE)/100))/1000</f>
        <v>0</v>
      </c>
    </row>
    <row r="39" spans="1:12" x14ac:dyDescent="0.25">
      <c r="B39" s="188" t="str">
        <f>IF(Hypothèses!B35&lt;&gt;0,Hypothèses!B35,"")</f>
        <v/>
      </c>
      <c r="C39" s="189" t="str">
        <f>IF(Hypothèses!C35&lt;&gt;0,Hypothèses!C35,"")</f>
        <v/>
      </c>
      <c r="D39" s="190" t="str">
        <f t="shared" si="0"/>
        <v/>
      </c>
      <c r="E39" s="155"/>
      <c r="F39" s="250"/>
      <c r="G39" s="191">
        <f t="shared" si="1"/>
        <v>0</v>
      </c>
      <c r="H39" s="170">
        <f>Hypothèses!D35</f>
        <v>0</v>
      </c>
      <c r="I39" s="172">
        <f>(F39*Sources!$D$74+G39*Sources!D$69-H39*(IF($F$4=Sources!$C$66,'GES évités'!$H$4*Sources!$D$65+(1-'GES évités'!$H$4)*Sources!$D$66,VLOOKUP($F$4,Sources!$C$65:$D$69,2,FALSE))+$E39*VLOOKUP($I$4,Sources!$C$70:$D$73,2,FALSE)/100))/1000</f>
        <v>0</v>
      </c>
    </row>
    <row r="40" spans="1:12" x14ac:dyDescent="0.25">
      <c r="B40" s="188" t="str">
        <f>IF(Hypothèses!B36&lt;&gt;0,Hypothèses!B36,"")</f>
        <v/>
      </c>
      <c r="C40" s="189" t="str">
        <f>IF(Hypothèses!C36&lt;&gt;0,Hypothèses!C36,"")</f>
        <v/>
      </c>
      <c r="D40" s="190" t="str">
        <f t="shared" si="0"/>
        <v/>
      </c>
      <c r="E40" s="155"/>
      <c r="F40" s="250"/>
      <c r="G40" s="191">
        <f t="shared" si="1"/>
        <v>0</v>
      </c>
      <c r="H40" s="170">
        <f>Hypothèses!D36</f>
        <v>0</v>
      </c>
      <c r="I40" s="172">
        <f>(F40*Sources!$D$74+G40*Sources!D$69-H40*(IF($F$4=Sources!$C$66,'GES évités'!$H$4*Sources!$D$65+(1-'GES évités'!$H$4)*Sources!$D$66,VLOOKUP($F$4,Sources!$C$65:$D$69,2,FALSE))+$E40*VLOOKUP($I$4,Sources!$C$70:$D$73,2,FALSE)/100))/1000</f>
        <v>0</v>
      </c>
    </row>
    <row r="41" spans="1:12" x14ac:dyDescent="0.25">
      <c r="B41" s="188" t="str">
        <f>IF(Hypothèses!B37&lt;&gt;0,Hypothèses!B37,"")</f>
        <v/>
      </c>
      <c r="C41" s="189" t="str">
        <f>IF(Hypothèses!C37&lt;&gt;0,Hypothèses!C37,"")</f>
        <v/>
      </c>
      <c r="D41" s="190" t="str">
        <f t="shared" si="0"/>
        <v/>
      </c>
      <c r="E41" s="155"/>
      <c r="F41" s="250"/>
      <c r="G41" s="191">
        <f t="shared" si="1"/>
        <v>0</v>
      </c>
      <c r="H41" s="170">
        <f>Hypothèses!D37</f>
        <v>0</v>
      </c>
      <c r="I41" s="172">
        <f>(F41*Sources!$D$74+G41*Sources!D$69-H41*(IF($F$4=Sources!$C$66,'GES évités'!$H$4*Sources!$D$65+(1-'GES évités'!$H$4)*Sources!$D$66,VLOOKUP($F$4,Sources!$C$65:$D$69,2,FALSE))+$E41*VLOOKUP($I$4,Sources!$C$70:$D$73,2,FALSE)/100))/1000</f>
        <v>0</v>
      </c>
    </row>
    <row r="42" spans="1:12" x14ac:dyDescent="0.25">
      <c r="B42" s="188" t="str">
        <f>IF(Hypothèses!B38&lt;&gt;0,Hypothèses!B38,"")</f>
        <v/>
      </c>
      <c r="C42" s="189" t="str">
        <f>IF(Hypothèses!C38&lt;&gt;0,Hypothèses!C38,"")</f>
        <v/>
      </c>
      <c r="D42" s="190" t="str">
        <f t="shared" si="0"/>
        <v/>
      </c>
      <c r="E42" s="155"/>
      <c r="F42" s="250"/>
      <c r="G42" s="191">
        <f t="shared" si="1"/>
        <v>0</v>
      </c>
      <c r="H42" s="170">
        <f>Hypothèses!D38</f>
        <v>0</v>
      </c>
      <c r="I42" s="172">
        <f>(F42*Sources!$D$74+G42*Sources!D$69-H42*(IF($F$4=Sources!$C$66,'GES évités'!$H$4*Sources!$D$65+(1-'GES évités'!$H$4)*Sources!$D$66,VLOOKUP($F$4,Sources!$C$65:$D$69,2,FALSE))+$E42*VLOOKUP($I$4,Sources!$C$70:$D$73,2,FALSE)/100))/1000</f>
        <v>0</v>
      </c>
    </row>
    <row r="43" spans="1:12" x14ac:dyDescent="0.25">
      <c r="B43" s="188" t="str">
        <f>IF(Hypothèses!B39&lt;&gt;0,Hypothèses!B39,"")</f>
        <v/>
      </c>
      <c r="C43" s="189" t="str">
        <f>IF(Hypothèses!C39&lt;&gt;0,Hypothèses!C39,"")</f>
        <v/>
      </c>
      <c r="D43" s="190" t="str">
        <f t="shared" si="0"/>
        <v/>
      </c>
      <c r="E43" s="155"/>
      <c r="F43" s="250"/>
      <c r="G43" s="191">
        <f t="shared" si="1"/>
        <v>0</v>
      </c>
      <c r="H43" s="170">
        <f>Hypothèses!D39</f>
        <v>0</v>
      </c>
      <c r="I43" s="172">
        <f>(F43*Sources!$D$74+G43*Sources!D$69-H43*(IF($F$4=Sources!$C$66,'GES évités'!$H$4*Sources!$D$65+(1-'GES évités'!$H$4)*Sources!$D$66,VLOOKUP($F$4,Sources!$C$65:$D$69,2,FALSE))+$E43*VLOOKUP($I$4,Sources!$C$70:$D$73,2,FALSE)/100))/1000</f>
        <v>0</v>
      </c>
    </row>
    <row r="44" spans="1:12" x14ac:dyDescent="0.25">
      <c r="B44" s="188" t="str">
        <f>IF(Hypothèses!B40&lt;&gt;0,Hypothèses!B40,"")</f>
        <v/>
      </c>
      <c r="C44" s="189" t="str">
        <f>IF(Hypothèses!C40&lt;&gt;0,Hypothèses!C40,"")</f>
        <v/>
      </c>
      <c r="D44" s="190" t="str">
        <f t="shared" si="0"/>
        <v/>
      </c>
      <c r="E44" s="155"/>
      <c r="F44" s="250"/>
      <c r="G44" s="191">
        <f t="shared" si="1"/>
        <v>0</v>
      </c>
      <c r="H44" s="170">
        <f>Hypothèses!D40</f>
        <v>0</v>
      </c>
      <c r="I44" s="172">
        <f>(F44*Sources!$D$74+G44*Sources!D$69-H44*(IF($F$4=Sources!$C$66,'GES évités'!$H$4*Sources!$D$65+(1-'GES évités'!$H$4)*Sources!$D$66,VLOOKUP($F$4,Sources!$C$65:$D$69,2,FALSE))+$E44*VLOOKUP($I$4,Sources!$C$70:$D$73,2,FALSE)/100))/1000</f>
        <v>0</v>
      </c>
    </row>
    <row r="45" spans="1:12" x14ac:dyDescent="0.25">
      <c r="B45" s="188" t="str">
        <f>IF(Hypothèses!B41&lt;&gt;0,Hypothèses!B41,"")</f>
        <v/>
      </c>
      <c r="C45" s="189" t="str">
        <f>IF(Hypothèses!C41&lt;&gt;0,Hypothèses!C41,"")</f>
        <v/>
      </c>
      <c r="D45" s="190" t="str">
        <f t="shared" si="0"/>
        <v/>
      </c>
      <c r="E45" s="155"/>
      <c r="F45" s="250"/>
      <c r="G45" s="191">
        <f t="shared" si="1"/>
        <v>0</v>
      </c>
      <c r="H45" s="170">
        <f>Hypothèses!D41</f>
        <v>0</v>
      </c>
      <c r="I45" s="172">
        <f>(F45*Sources!$D$74+G45*Sources!D$69-H45*(IF($F$4=Sources!$C$66,'GES évités'!$H$4*Sources!$D$65+(1-'GES évités'!$H$4)*Sources!$D$66,VLOOKUP($F$4,Sources!$C$65:$D$69,2,FALSE))+$E45*VLOOKUP($I$4,Sources!$C$70:$D$73,2,FALSE)/100))/1000</f>
        <v>0</v>
      </c>
    </row>
    <row r="46" spans="1:12" ht="15.75" thickBot="1" x14ac:dyDescent="0.3">
      <c r="B46" s="192" t="str">
        <f>IF(Hypothèses!B42&lt;&gt;0,Hypothèses!B42,"")</f>
        <v/>
      </c>
      <c r="C46" s="193" t="str">
        <f>IF(Hypothèses!C42&lt;&gt;0,Hypothèses!C42,"")</f>
        <v/>
      </c>
      <c r="D46" s="193" t="str">
        <f t="shared" si="0"/>
        <v/>
      </c>
      <c r="E46" s="156"/>
      <c r="F46" s="251"/>
      <c r="G46" s="195">
        <f t="shared" si="1"/>
        <v>0</v>
      </c>
      <c r="H46" s="174">
        <f>Hypothèses!D42</f>
        <v>0</v>
      </c>
      <c r="I46" s="172">
        <f>(F46*Sources!$D$74+G46*Sources!D$69-H46*(IF($F$4=Sources!$C$66,'GES évités'!$H$4*Sources!$D$65+(1-'GES évités'!$H$4)*Sources!$D$66,VLOOKUP($F$4,Sources!$C$65:$D$69,2,FALSE))+$E46*VLOOKUP($I$4,Sources!$C$70:$D$73,2,FALSE)/100))/1000</f>
        <v>0</v>
      </c>
    </row>
    <row r="47" spans="1:12" x14ac:dyDescent="0.25">
      <c r="B47" s="645" t="s">
        <v>174</v>
      </c>
      <c r="C47" s="646"/>
      <c r="D47" s="646"/>
      <c r="E47" s="647"/>
      <c r="F47" s="176">
        <f>SUM(F37:F46)</f>
        <v>0</v>
      </c>
      <c r="G47" s="177">
        <f>SUM(G37:G46)</f>
        <v>0</v>
      </c>
      <c r="H47" s="177">
        <f>SUM(H37:H46)</f>
        <v>0</v>
      </c>
      <c r="I47" s="179">
        <f>SUM(I37:I46)</f>
        <v>0</v>
      </c>
    </row>
    <row r="48" spans="1:12" x14ac:dyDescent="0.25">
      <c r="E48" s="196"/>
    </row>
  </sheetData>
  <sheetProtection algorithmName="SHA-512" hashValue="gcgmlCy6IlYGQ/hXR/OD8zTUOErXyOI+0fbTMr7mhJYhck7ogBRqMfxF3th1uPHlurCEfrIztwaKueTwCDzZZw==" saltValue="jVOY2kDxWlO1vgWkJI+S3A==" spinCount="100000" sheet="1" formatCells="0" formatColumns="0" formatRows="0"/>
  <mergeCells count="7">
    <mergeCell ref="B47:E47"/>
    <mergeCell ref="I3:J3"/>
    <mergeCell ref="I4:J4"/>
    <mergeCell ref="D7:E7"/>
    <mergeCell ref="B32:D32"/>
    <mergeCell ref="F4:G4"/>
    <mergeCell ref="F3:G3"/>
  </mergeCells>
  <conditionalFormatting sqref="H3">
    <cfRule type="cellIs" dxfId="2" priority="29" operator="equal">
      <formula>"Part renouvelable (%)"</formula>
    </cfRule>
  </conditionalFormatting>
  <conditionalFormatting sqref="H4">
    <cfRule type="expression" dxfId="1" priority="25">
      <formula>$H$3=""</formula>
    </cfRule>
    <cfRule type="expression" dxfId="0" priority="27">
      <formula>$H$3="Part renouvelable (%)"</formula>
    </cfRule>
  </conditionalFormatting>
  <dataValidations count="2">
    <dataValidation type="list" allowBlank="1" showInputMessage="1" showErrorMessage="1" sqref="K4" xr:uid="{00000000-0002-0000-0600-000000000000}">
      <formula1>$N$2:$N$5</formula1>
    </dataValidation>
    <dataValidation type="list" allowBlank="1" showInputMessage="1" showErrorMessage="1" sqref="I4:J4" xr:uid="{00000000-0002-0000-0600-000001000000}">
      <formula1>$N$3:$N$6</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Sources!$C$66:$C$67</xm:f>
          </x14:formula1>
          <xm:sqref>F4:G4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Notice</vt:lpstr>
      <vt:lpstr>1. Dépenses Usages</vt:lpstr>
      <vt:lpstr>2. Dépenses Infra</vt:lpstr>
      <vt:lpstr>3. Plan de financement</vt:lpstr>
      <vt:lpstr>4. Calendrier d'exécution</vt:lpstr>
      <vt:lpstr>Hypothèses</vt:lpstr>
      <vt:lpstr> BP Infrastructures</vt:lpstr>
      <vt:lpstr>TCO Véhicules</vt:lpstr>
      <vt:lpstr>GES évités</vt:lpstr>
      <vt:lpstr>Sources</vt:lpstr>
      <vt:lpstr>Consommations</vt:lpstr>
      <vt:lpstr>'3. Plan de financement'!Zone_d_impression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Pierre.SACHER@ademe.fr</dc:creator>
  <cp:lastModifiedBy>HACHET Wilfried</cp:lastModifiedBy>
  <dcterms:created xsi:type="dcterms:W3CDTF">2018-12-14T15:28:18Z</dcterms:created>
  <dcterms:modified xsi:type="dcterms:W3CDTF">2022-07-20T12:46:22Z</dcterms:modified>
</cp:coreProperties>
</file>